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DeTrabalho"/>
  <bookViews>
    <workbookView xWindow="-120" yWindow="-120" windowWidth="24240" windowHeight="13140" tabRatio="831" activeTab="4"/>
  </bookViews>
  <sheets>
    <sheet name="QUADRO RESUMO" sheetId="27" r:id="rId1"/>
    <sheet name="ARACATUBA" sheetId="28" r:id="rId2"/>
    <sheet name="CAMPINAS" sheetId="32" r:id="rId3"/>
    <sheet name="PRESIDENTE PRUDENTE" sheetId="30" r:id="rId4"/>
    <sheet name="UNIFORMES" sheetId="10" r:id="rId5"/>
    <sheet name="INSUMOS" sheetId="26" r:id="rId6"/>
    <sheet name="DESCARTÁVEIS" sheetId="25" r:id="rId7"/>
  </sheets>
  <externalReferences>
    <externalReference r:id="rId8"/>
  </externalReferences>
  <definedNames>
    <definedName name="_xlnm.Print_Area" localSheetId="1">ARACATUBA!$A$1:$K$180</definedName>
    <definedName name="_xlnm.Print_Area" localSheetId="2">CAMPINAS!$A$1:$K$180</definedName>
    <definedName name="_xlnm.Print_Area" localSheetId="6">DESCARTÁVEIS!$A$1:$H$27</definedName>
    <definedName name="_xlnm.Print_Area" localSheetId="5">INSUMOS!$A$1:$L$54</definedName>
    <definedName name="_xlnm.Print_Area" localSheetId="3">'PRESIDENTE PRUDENTE'!$A$1:$K$177</definedName>
    <definedName name="TabRef">'[1]Tabela de Referencia'!$A$11:$AT$83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5" i="26" l="1"/>
  <c r="J45" i="26" l="1"/>
  <c r="L45" i="26"/>
  <c r="H46" i="26"/>
  <c r="J46" i="26"/>
  <c r="L46" i="26"/>
  <c r="H17" i="26"/>
  <c r="J17" i="26"/>
  <c r="L17" i="26"/>
  <c r="G165" i="32" l="1"/>
  <c r="I166" i="32" s="1"/>
  <c r="F162" i="32"/>
  <c r="K141" i="32"/>
  <c r="K127" i="32"/>
  <c r="H126" i="32"/>
  <c r="K126" i="32" s="1"/>
  <c r="H125" i="32"/>
  <c r="K125" i="32" s="1"/>
  <c r="K124" i="32"/>
  <c r="K123" i="32"/>
  <c r="K122" i="32"/>
  <c r="H121" i="32"/>
  <c r="K121" i="32" s="1"/>
  <c r="K120" i="32"/>
  <c r="H119" i="32"/>
  <c r="K119" i="32" s="1"/>
  <c r="H118" i="32"/>
  <c r="K118" i="32" s="1"/>
  <c r="K117" i="32"/>
  <c r="H116" i="32"/>
  <c r="K116" i="32" s="1"/>
  <c r="K78" i="32"/>
  <c r="B77" i="32"/>
  <c r="K72" i="32"/>
  <c r="K69" i="32"/>
  <c r="E68" i="32"/>
  <c r="K66" i="32" s="1"/>
  <c r="I52" i="32"/>
  <c r="I59" i="32" s="1"/>
  <c r="I42" i="32"/>
  <c r="I41" i="32"/>
  <c r="I40" i="32"/>
  <c r="K28" i="32"/>
  <c r="K27" i="32"/>
  <c r="K26" i="32"/>
  <c r="K30" i="32" s="1"/>
  <c r="G162" i="30"/>
  <c r="I163" i="30" s="1"/>
  <c r="F159" i="30"/>
  <c r="K138" i="30"/>
  <c r="K124" i="30"/>
  <c r="H123" i="30"/>
  <c r="K123" i="30" s="1"/>
  <c r="H122" i="30"/>
  <c r="K122" i="30" s="1"/>
  <c r="K121" i="30"/>
  <c r="K120" i="30"/>
  <c r="K119" i="30"/>
  <c r="H118" i="30"/>
  <c r="K118" i="30" s="1"/>
  <c r="K117" i="30"/>
  <c r="H116" i="30"/>
  <c r="K116" i="30" s="1"/>
  <c r="H115" i="30"/>
  <c r="K115" i="30" s="1"/>
  <c r="K114" i="30"/>
  <c r="H113" i="30"/>
  <c r="K113" i="30" s="1"/>
  <c r="K75" i="30"/>
  <c r="K72" i="30"/>
  <c r="K69" i="30"/>
  <c r="E68" i="30"/>
  <c r="K66" i="30" s="1"/>
  <c r="I52" i="30"/>
  <c r="I59" i="30" s="1"/>
  <c r="I42" i="30"/>
  <c r="I41" i="30"/>
  <c r="I40" i="30"/>
  <c r="K28" i="30"/>
  <c r="K27" i="30"/>
  <c r="K26" i="30"/>
  <c r="K30" i="30" s="1"/>
  <c r="F77" i="32" l="1"/>
  <c r="K75" i="32" s="1"/>
  <c r="I43" i="32"/>
  <c r="K128" i="32"/>
  <c r="K29" i="32"/>
  <c r="I33" i="32"/>
  <c r="K31" i="32" s="1"/>
  <c r="K29" i="30"/>
  <c r="G65" i="32"/>
  <c r="K63" i="32" s="1"/>
  <c r="I33" i="30"/>
  <c r="K31" i="30" s="1"/>
  <c r="G65" i="30"/>
  <c r="K63" i="30" s="1"/>
  <c r="K79" i="30" s="1"/>
  <c r="K87" i="30" s="1"/>
  <c r="K125" i="30"/>
  <c r="I43" i="30"/>
  <c r="E10" i="27"/>
  <c r="D21" i="25"/>
  <c r="D22" i="25"/>
  <c r="K82" i="32" l="1"/>
  <c r="K90" i="32" s="1"/>
  <c r="K35" i="32"/>
  <c r="K129" i="32" s="1"/>
  <c r="K35" i="30"/>
  <c r="K40" i="30" s="1"/>
  <c r="K169" i="32"/>
  <c r="K41" i="30" l="1"/>
  <c r="K84" i="30"/>
  <c r="K41" i="32"/>
  <c r="K87" i="32"/>
  <c r="K42" i="32"/>
  <c r="K46" i="32"/>
  <c r="K40" i="32"/>
  <c r="K46" i="30"/>
  <c r="K166" i="30"/>
  <c r="K126" i="30"/>
  <c r="K42" i="30"/>
  <c r="K43" i="30" s="1"/>
  <c r="K43" i="32" l="1"/>
  <c r="K47" i="32" s="1"/>
  <c r="K48" i="32" s="1"/>
  <c r="K88" i="32"/>
  <c r="K47" i="30"/>
  <c r="K48" i="30" s="1"/>
  <c r="K85" i="30"/>
  <c r="K58" i="32"/>
  <c r="K89" i="32" s="1"/>
  <c r="K57" i="32"/>
  <c r="K52" i="32"/>
  <c r="K56" i="32"/>
  <c r="K55" i="32"/>
  <c r="K51" i="32"/>
  <c r="K54" i="32"/>
  <c r="K50" i="32"/>
  <c r="K50" i="30" l="1"/>
  <c r="K55" i="30"/>
  <c r="K57" i="30"/>
  <c r="K51" i="30"/>
  <c r="K54" i="30"/>
  <c r="K52" i="30"/>
  <c r="K58" i="30"/>
  <c r="K86" i="30" s="1"/>
  <c r="K56" i="30"/>
  <c r="K99" i="32"/>
  <c r="K100" i="32" s="1"/>
  <c r="K102" i="32" s="1"/>
  <c r="K103" i="32" s="1"/>
  <c r="K93" i="32"/>
  <c r="K91" i="32"/>
  <c r="K92" i="32" s="1"/>
  <c r="K59" i="32"/>
  <c r="K83" i="32" s="1"/>
  <c r="K90" i="30" l="1"/>
  <c r="K88" i="30"/>
  <c r="K89" i="30" s="1"/>
  <c r="K96" i="30"/>
  <c r="K97" i="30" s="1"/>
  <c r="K99" i="30" s="1"/>
  <c r="K100" i="30" s="1"/>
  <c r="K59" i="30"/>
  <c r="K80" i="30" s="1"/>
  <c r="E9" i="27"/>
  <c r="E8" i="27"/>
  <c r="K170" i="32"/>
  <c r="K130" i="32"/>
  <c r="K94" i="32"/>
  <c r="K96" i="32" s="1"/>
  <c r="K97" i="32" s="1"/>
  <c r="K91" i="30" l="1"/>
  <c r="K93" i="30" s="1"/>
  <c r="K94" i="30" s="1"/>
  <c r="K102" i="30" s="1"/>
  <c r="K103" i="30" s="1"/>
  <c r="K105" i="30" s="1"/>
  <c r="K106" i="30" s="1"/>
  <c r="K107" i="30" s="1"/>
  <c r="K128" i="30" s="1"/>
  <c r="K167" i="30"/>
  <c r="K127" i="30"/>
  <c r="K105" i="32"/>
  <c r="K106" i="32" s="1"/>
  <c r="K108" i="32" s="1"/>
  <c r="K109" i="32" s="1"/>
  <c r="K110" i="32" s="1"/>
  <c r="K168" i="30" l="1"/>
  <c r="K129" i="30"/>
  <c r="K130" i="30" s="1"/>
  <c r="K131" i="30" s="1"/>
  <c r="K132" i="30" s="1"/>
  <c r="K133" i="30" s="1"/>
  <c r="K140" i="30" s="1"/>
  <c r="K169" i="30" s="1"/>
  <c r="K171" i="32"/>
  <c r="K131" i="32"/>
  <c r="K132" i="32" s="1"/>
  <c r="K133" i="32" s="1"/>
  <c r="K134" i="32" s="1"/>
  <c r="K135" i="32" s="1"/>
  <c r="K136" i="32" s="1"/>
  <c r="K143" i="32" s="1"/>
  <c r="K172" i="32" s="1"/>
  <c r="H29" i="26" l="1"/>
  <c r="L29" i="26"/>
  <c r="J29" i="26"/>
  <c r="H37" i="26"/>
  <c r="L37" i="26"/>
  <c r="J37" i="26"/>
  <c r="H41" i="26"/>
  <c r="L41" i="26"/>
  <c r="J41" i="26"/>
  <c r="J30" i="26"/>
  <c r="L30" i="26"/>
  <c r="H30" i="26"/>
  <c r="L38" i="26"/>
  <c r="J38" i="26"/>
  <c r="H38" i="26"/>
  <c r="J42" i="26"/>
  <c r="L42" i="26"/>
  <c r="H42" i="26"/>
  <c r="L31" i="26"/>
  <c r="H31" i="26"/>
  <c r="J31" i="26"/>
  <c r="L35" i="26"/>
  <c r="J35" i="26"/>
  <c r="H35" i="26"/>
  <c r="L39" i="26"/>
  <c r="H39" i="26"/>
  <c r="J39" i="26"/>
  <c r="L32" i="26"/>
  <c r="H32" i="26"/>
  <c r="J32" i="26"/>
  <c r="H36" i="26"/>
  <c r="L36" i="26"/>
  <c r="J36" i="26"/>
  <c r="J40" i="26"/>
  <c r="L40" i="26"/>
  <c r="H40" i="26"/>
  <c r="H44" i="26"/>
  <c r="L44" i="26"/>
  <c r="J44" i="26"/>
  <c r="L47" i="26"/>
  <c r="J47" i="26"/>
  <c r="H47" i="26"/>
  <c r="L48" i="26"/>
  <c r="J48" i="26"/>
  <c r="H48" i="26"/>
  <c r="L33" i="26"/>
  <c r="J33" i="26"/>
  <c r="H33" i="26"/>
  <c r="L34" i="26"/>
  <c r="J34" i="26"/>
  <c r="H34" i="26"/>
  <c r="L43" i="26"/>
  <c r="J43" i="26"/>
  <c r="H43" i="26"/>
  <c r="L9" i="26" l="1"/>
  <c r="J9" i="26"/>
  <c r="L13" i="26"/>
  <c r="J13" i="26"/>
  <c r="J7" i="26"/>
  <c r="L7" i="26"/>
  <c r="J11" i="26"/>
  <c r="L11" i="26"/>
  <c r="L8" i="26"/>
  <c r="J8" i="26"/>
  <c r="L12" i="26"/>
  <c r="J12" i="26"/>
  <c r="L16" i="26"/>
  <c r="J16" i="26"/>
  <c r="L18" i="26"/>
  <c r="J18" i="26"/>
  <c r="J6" i="26"/>
  <c r="L6" i="26"/>
  <c r="L5" i="26"/>
  <c r="J5" i="26"/>
  <c r="L10" i="26"/>
  <c r="J10" i="26"/>
  <c r="J14" i="26"/>
  <c r="L14" i="26"/>
  <c r="J15" i="26"/>
  <c r="L15" i="26"/>
  <c r="L4" i="26"/>
  <c r="J4" i="26"/>
  <c r="G50" i="26"/>
  <c r="H4" i="26"/>
  <c r="F25" i="26"/>
  <c r="H5" i="26"/>
  <c r="H6" i="26"/>
  <c r="H7" i="26"/>
  <c r="H8" i="26"/>
  <c r="H9" i="26"/>
  <c r="H10" i="26"/>
  <c r="H11" i="26"/>
  <c r="H12" i="26"/>
  <c r="H13" i="26"/>
  <c r="H14" i="26"/>
  <c r="H15" i="26"/>
  <c r="H16" i="26"/>
  <c r="H18" i="26"/>
  <c r="L27" i="26" l="1"/>
  <c r="J27" i="26"/>
  <c r="H27" i="26"/>
  <c r="H28" i="26"/>
  <c r="J28" i="26"/>
  <c r="L28" i="26"/>
  <c r="L26" i="26"/>
  <c r="J26" i="26"/>
  <c r="H26" i="26"/>
  <c r="K50" i="26" l="1"/>
  <c r="I50" i="26"/>
  <c r="E23" i="25"/>
  <c r="E22" i="25"/>
  <c r="E21" i="25"/>
  <c r="E15" i="25"/>
  <c r="E14" i="25"/>
  <c r="E13" i="25"/>
  <c r="E26" i="27"/>
  <c r="F26" i="27" s="1"/>
  <c r="E25" i="27"/>
  <c r="E24" i="27"/>
  <c r="F24" i="27" s="1"/>
  <c r="F23" i="27"/>
  <c r="E18" i="27"/>
  <c r="F18" i="27" s="1"/>
  <c r="E17" i="27"/>
  <c r="E16" i="27"/>
  <c r="F15" i="27"/>
  <c r="F17" i="27" l="1"/>
  <c r="F25" i="27"/>
  <c r="F16" i="27"/>
  <c r="J19" i="26" l="1"/>
  <c r="J20" i="26" s="1"/>
  <c r="J21" i="26" s="1"/>
  <c r="H19" i="26"/>
  <c r="G24" i="26"/>
  <c r="G165" i="28"/>
  <c r="I166" i="28" s="1"/>
  <c r="F162" i="28"/>
  <c r="K141" i="28"/>
  <c r="K127" i="28"/>
  <c r="H126" i="28"/>
  <c r="K126" i="28" s="1"/>
  <c r="H125" i="28"/>
  <c r="K125" i="28" s="1"/>
  <c r="K124" i="28"/>
  <c r="K123" i="28"/>
  <c r="K122" i="28"/>
  <c r="H121" i="28"/>
  <c r="K121" i="28" s="1"/>
  <c r="K120" i="28"/>
  <c r="H119" i="28"/>
  <c r="K119" i="28" s="1"/>
  <c r="H118" i="28"/>
  <c r="K118" i="28" s="1"/>
  <c r="K117" i="28"/>
  <c r="H116" i="28"/>
  <c r="K116" i="28" s="1"/>
  <c r="K78" i="28"/>
  <c r="B77" i="28"/>
  <c r="K72" i="28"/>
  <c r="K69" i="28"/>
  <c r="E68" i="28"/>
  <c r="K66" i="28" s="1"/>
  <c r="I52" i="28"/>
  <c r="I59" i="28" s="1"/>
  <c r="I42" i="28"/>
  <c r="I41" i="28"/>
  <c r="I40" i="28"/>
  <c r="K28" i="28"/>
  <c r="K27" i="28"/>
  <c r="K26" i="28"/>
  <c r="I33" i="28" s="1"/>
  <c r="K31" i="28" s="1"/>
  <c r="K29" i="28" l="1"/>
  <c r="G65" i="28"/>
  <c r="K63" i="28" s="1"/>
  <c r="F77" i="28"/>
  <c r="K75" i="28" s="1"/>
  <c r="I43" i="28"/>
  <c r="K128" i="28"/>
  <c r="K30" i="28"/>
  <c r="F10" i="27"/>
  <c r="F9" i="27"/>
  <c r="F8" i="27"/>
  <c r="F7" i="27"/>
  <c r="H14" i="25" l="1"/>
  <c r="G17" i="27"/>
  <c r="I17" i="27" s="1"/>
  <c r="G14" i="25"/>
  <c r="H15" i="25"/>
  <c r="H13" i="25"/>
  <c r="G16" i="27"/>
  <c r="H16" i="27" s="1"/>
  <c r="G18" i="27"/>
  <c r="H18" i="27" s="1"/>
  <c r="G15" i="25"/>
  <c r="G13" i="25"/>
  <c r="K35" i="28"/>
  <c r="K42" i="28" s="1"/>
  <c r="K82" i="28"/>
  <c r="K90" i="28" s="1"/>
  <c r="G10" i="27"/>
  <c r="G9" i="27"/>
  <c r="G8" i="27"/>
  <c r="I16" i="27" l="1"/>
  <c r="H17" i="27"/>
  <c r="G23" i="25"/>
  <c r="H21" i="25"/>
  <c r="I18" i="27"/>
  <c r="G22" i="25"/>
  <c r="G17" i="25"/>
  <c r="G16" i="25"/>
  <c r="K129" i="28"/>
  <c r="K169" i="28"/>
  <c r="K41" i="28"/>
  <c r="K87" i="28"/>
  <c r="K40" i="28"/>
  <c r="K46" i="28"/>
  <c r="G24" i="27"/>
  <c r="H9" i="27"/>
  <c r="H10" i="27"/>
  <c r="H8" i="27"/>
  <c r="G25" i="27" l="1"/>
  <c r="G21" i="25"/>
  <c r="G24" i="25" s="1"/>
  <c r="H22" i="25"/>
  <c r="G26" i="27"/>
  <c r="H23" i="25"/>
  <c r="K43" i="28"/>
  <c r="K47" i="28" s="1"/>
  <c r="K48" i="28" s="1"/>
  <c r="I24" i="27"/>
  <c r="H24" i="27"/>
  <c r="H20" i="26"/>
  <c r="H21" i="26" s="1"/>
  <c r="G7" i="25"/>
  <c r="G6" i="25"/>
  <c r="G5" i="25"/>
  <c r="E7" i="25"/>
  <c r="E6" i="25"/>
  <c r="E5" i="25"/>
  <c r="H26" i="27" l="1"/>
  <c r="H25" i="27"/>
  <c r="I26" i="27"/>
  <c r="G25" i="25"/>
  <c r="I25" i="27"/>
  <c r="K88" i="28"/>
  <c r="K56" i="28"/>
  <c r="K51" i="28"/>
  <c r="K52" i="28"/>
  <c r="K58" i="28"/>
  <c r="K89" i="28" s="1"/>
  <c r="K99" i="28" s="1"/>
  <c r="K100" i="28" s="1"/>
  <c r="K102" i="28" s="1"/>
  <c r="K103" i="28" s="1"/>
  <c r="K55" i="28"/>
  <c r="K57" i="28"/>
  <c r="K50" i="28"/>
  <c r="K54" i="28"/>
  <c r="K91" i="28"/>
  <c r="K92" i="28" s="1"/>
  <c r="J49" i="26"/>
  <c r="J50" i="26" s="1"/>
  <c r="J51" i="26" s="1"/>
  <c r="K147" i="32" s="1"/>
  <c r="H49" i="26"/>
  <c r="H50" i="26" s="1"/>
  <c r="H51" i="26" s="1"/>
  <c r="H6" i="25"/>
  <c r="I9" i="27"/>
  <c r="H7" i="25"/>
  <c r="I10" i="27"/>
  <c r="H5" i="25"/>
  <c r="I8" i="27"/>
  <c r="G8" i="25"/>
  <c r="K93" i="28" l="1"/>
  <c r="K59" i="28"/>
  <c r="K83" i="28" s="1"/>
  <c r="K170" i="28" s="1"/>
  <c r="K94" i="28"/>
  <c r="K96" i="28" s="1"/>
  <c r="K97" i="28" s="1"/>
  <c r="K105" i="28" s="1"/>
  <c r="K106" i="28" s="1"/>
  <c r="K108" i="28" s="1"/>
  <c r="K109" i="28" s="1"/>
  <c r="K110" i="28" s="1"/>
  <c r="G9" i="25"/>
  <c r="K147" i="28"/>
  <c r="F9" i="10"/>
  <c r="F4" i="10"/>
  <c r="K130" i="28" l="1"/>
  <c r="L19" i="26"/>
  <c r="L20" i="26" s="1"/>
  <c r="L21" i="26" s="1"/>
  <c r="K171" i="28"/>
  <c r="K131" i="28"/>
  <c r="K132" i="28" s="1"/>
  <c r="K133" i="28" s="1"/>
  <c r="K134" i="28" s="1"/>
  <c r="K135" i="28" s="1"/>
  <c r="K136" i="28" s="1"/>
  <c r="K143" i="28" s="1"/>
  <c r="K172" i="28" l="1"/>
  <c r="F8" i="10" l="1"/>
  <c r="F7" i="10"/>
  <c r="F6" i="10"/>
  <c r="F5" i="10"/>
  <c r="F11" i="10" l="1"/>
  <c r="K146" i="32" l="1"/>
  <c r="K149" i="32" s="1"/>
  <c r="K143" i="30"/>
  <c r="K146" i="28"/>
  <c r="K149" i="28" s="1"/>
  <c r="K173" i="28" l="1"/>
  <c r="K151" i="28"/>
  <c r="I156" i="28" s="1"/>
  <c r="K156" i="28" s="1"/>
  <c r="I157" i="28" s="1"/>
  <c r="K151" i="32"/>
  <c r="I156" i="32" s="1"/>
  <c r="K173" i="32"/>
  <c r="K156" i="32" l="1"/>
  <c r="I157" i="32" s="1"/>
  <c r="K157" i="32" s="1"/>
  <c r="I158" i="32" s="1"/>
  <c r="K157" i="28"/>
  <c r="I158" i="28" s="1"/>
  <c r="K159" i="32" l="1"/>
  <c r="K164" i="32"/>
  <c r="K158" i="32"/>
  <c r="K163" i="32"/>
  <c r="K160" i="32"/>
  <c r="K161" i="32"/>
  <c r="K164" i="28"/>
  <c r="K158" i="28"/>
  <c r="K159" i="28"/>
  <c r="K160" i="28"/>
  <c r="K161" i="28"/>
  <c r="K163" i="28"/>
  <c r="K166" i="32" l="1"/>
  <c r="K174" i="32" s="1"/>
  <c r="K175" i="32" s="1"/>
  <c r="G15" i="27" s="1"/>
  <c r="I15" i="27" s="1"/>
  <c r="J15" i="27" s="1"/>
  <c r="J19" i="27" s="1"/>
  <c r="K166" i="28"/>
  <c r="K174" i="28" s="1"/>
  <c r="K175" i="28" s="1"/>
  <c r="H15" i="27" l="1"/>
  <c r="G7" i="27"/>
  <c r="I7" i="27" s="1"/>
  <c r="J7" i="27" s="1"/>
  <c r="J11" i="27" s="1"/>
  <c r="L49" i="26"/>
  <c r="L50" i="26" s="1"/>
  <c r="L51" i="26" s="1"/>
  <c r="K144" i="30" s="1"/>
  <c r="K146" i="30" s="1"/>
  <c r="H7" i="27" l="1"/>
  <c r="K170" i="30"/>
  <c r="K148" i="30"/>
  <c r="I153" i="30" s="1"/>
  <c r="K153" i="30" s="1"/>
  <c r="I154" i="30" l="1"/>
  <c r="K154" i="30" s="1"/>
  <c r="I155" i="30" s="1"/>
  <c r="K161" i="30" l="1"/>
  <c r="K157" i="30"/>
  <c r="K155" i="30"/>
  <c r="K160" i="30"/>
  <c r="K158" i="30"/>
  <c r="K156" i="30"/>
  <c r="K163" i="30" l="1"/>
  <c r="K171" i="30" s="1"/>
  <c r="K172" i="30" s="1"/>
  <c r="G23" i="27" s="1"/>
  <c r="H23" i="27" l="1"/>
  <c r="I23" i="27"/>
  <c r="J23" i="27" s="1"/>
  <c r="J27" i="27" s="1"/>
  <c r="J29" i="27" s="1"/>
</calcChain>
</file>

<file path=xl/comments1.xml><?xml version="1.0" encoding="utf-8"?>
<comments xmlns="http://schemas.openxmlformats.org/spreadsheetml/2006/main">
  <authors>
    <author>Henrique Pereira Soares</author>
    <author>Andreia Alves de Lima</author>
  </authors>
  <commentList>
    <comment ref="A24" authorId="0">
      <text>
        <r>
          <rPr>
            <b/>
            <sz val="9"/>
            <color indexed="81"/>
            <rFont val="Segoe UI"/>
            <family val="2"/>
          </rPr>
          <t>NOTA 1: O Módulo 1 refere-se ao valor mensal devido ao empregado pela prestação do serviço no período de 12 meses.</t>
        </r>
      </text>
    </comment>
    <comment ref="A37" authorId="0">
      <text>
        <r>
          <rPr>
            <b/>
            <sz val="9"/>
            <color indexed="81"/>
            <rFont val="Segoe UI"/>
            <family val="2"/>
          </rPr>
          <t>Nota 1: Como a planilha de custos e formação de preços é calculada mensalmente, provisiona-se proporcionalmente 1/12 (um doze avos) dos valores referentes a gratificação natalina, férias e adicional de férias. (Redação dada pela Instrução Normativa nº 7, de 2018)
Nota 2: O adicional de férias contido no Submódulo 2.1 corresponde a 1/3 (um terço) da remuneração que por sua vez é divido por 12 (doze) conforme Nota 1 acima.
Nota 3: Levando em consideração a vigência contratual prevista no art. 57 da Lei nº 8.666, de 23 de junho de 1993, a rubrica férias tem como objetivo principal suprir a necessidade do pagamento das férias remuneradas ao final do contrato de 12 meses. Esta rubrica, quando da prorrogação contratual, torna-se custo não renovável.  (Incluído pela Instrução Normativa nº 7, de 2018)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45" authorId="0">
      <text>
        <r>
          <rPr>
            <b/>
            <sz val="9"/>
            <color indexed="81"/>
            <rFont val="Segoe UI"/>
            <family val="2"/>
          </rPr>
          <t>Nota 1: Os percentuais dos encargos previdenciários, do FGTS e demais contribuições são aqueles estabelecidos pela legislação vigente.
Nota 2: O SAT a depender do grau de risco do serviço irá variar entre 1%, para risco leve, de 2%, para risco médio, e de 3% de risco grave.
Nota 3: Esses percentuais incidem sobre o Módulo 1, o Submódulo 2.1. (Redação dada pela Instrução Normativa nº 7, de 2018)</t>
        </r>
      </text>
    </comment>
    <comment ref="I52" authorId="0">
      <text>
        <r>
          <rPr>
            <b/>
            <sz val="9"/>
            <color indexed="81"/>
            <rFont val="Segoe UI"/>
            <family val="2"/>
          </rPr>
          <t>INFORMAÇÃO A SER PREENCHIDA PELA LICITANTE (entre 1% e 3%)</t>
        </r>
      </text>
    </comment>
    <comment ref="A61" authorId="0">
      <text>
        <r>
          <rPr>
            <b/>
            <sz val="9"/>
            <color indexed="81"/>
            <rFont val="Segoe UI"/>
            <family val="2"/>
          </rPr>
          <t>Nota 1: O valor informado deverá ser o custo real do benefício (descontado o valor eventualmente pago pelo empregado).
Nota 2: Observar a previsão dos benefícios contidos em Acordos, Convenções e Dissídios Coletivos de Trabalho e atentar-se ao disposto no art. 6º desta Instrução Normativa.</t>
        </r>
      </text>
    </comment>
    <comment ref="A112" authorId="1">
      <text>
        <r>
          <rPr>
            <b/>
            <sz val="9"/>
            <color indexed="81"/>
            <rFont val="Segoe UI"/>
            <family val="2"/>
          </rPr>
          <t>Nota 1: Os itens que contemplam o módulo 4 se referem ao custo dos dias trabalhados pelo repositor/substituto, quando o empregado alocado na prestação de serviço estiver ausente, conforme as previsões estabelecidas na legislação.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145" authorId="0">
      <text>
        <r>
          <rPr>
            <b/>
            <sz val="9"/>
            <color indexed="81"/>
            <rFont val="Segoe UI"/>
            <family val="2"/>
          </rPr>
          <t xml:space="preserve">Nota: Valores mensais por empregado
</t>
        </r>
      </text>
    </comment>
    <comment ref="B158" authorId="0">
      <text>
        <r>
          <rPr>
            <b/>
            <sz val="9"/>
            <color indexed="81"/>
            <rFont val="Segoe UI"/>
            <family val="2"/>
          </rPr>
          <t xml:space="preserve">ATENÇÃO: OS PERCENTUAIS DEVEM SER AJUSTADOS AO REGIME DE FATURAMENTO DA LICITANTE.
OS PERCENTUAIS DE REFERÊNCIA SÃO PARA EMPRESAS QUE RECOLHEM SOBRE O LUCRO REAL. </t>
        </r>
      </text>
    </comment>
  </commentList>
</comments>
</file>

<file path=xl/comments2.xml><?xml version="1.0" encoding="utf-8"?>
<comments xmlns="http://schemas.openxmlformats.org/spreadsheetml/2006/main">
  <authors>
    <author>Henrique Pereira Soares</author>
    <author>Andreia Alves de Lima</author>
  </authors>
  <commentList>
    <comment ref="A24" authorId="0">
      <text>
        <r>
          <rPr>
            <b/>
            <sz val="9"/>
            <color indexed="81"/>
            <rFont val="Segoe UI"/>
            <family val="2"/>
          </rPr>
          <t>NOTA 1: O Módulo 1 refere-se ao valor mensal devido ao empregado pela prestação do serviço no período de 12 meses.</t>
        </r>
      </text>
    </comment>
    <comment ref="A37" authorId="0">
      <text>
        <r>
          <rPr>
            <b/>
            <sz val="9"/>
            <color indexed="81"/>
            <rFont val="Segoe UI"/>
            <family val="2"/>
          </rPr>
          <t>Nota 1: Como a planilha de custos e formação de preços é calculada mensalmente, provisiona-se proporcionalmente 1/12 (um doze avos) dos valores referentes a gratificação natalina, férias e adicional de férias. (Redação dada pela Instrução Normativa nº 7, de 2018)
Nota 2: O adicional de férias contido no Submódulo 2.1 corresponde a 1/3 (um terço) da remuneração que por sua vez é divido por 12 (doze) conforme Nota 1 acima.
Nota 3: Levando em consideração a vigência contratual prevista no art. 57 da Lei nº 8.666, de 23 de junho de 1993, a rubrica férias tem como objetivo principal suprir a necessidade do pagamento das férias remuneradas ao final do contrato de 12 meses. Esta rubrica, quando da prorrogação contratual, torna-se custo não renovável.  (Incluído pela Instrução Normativa nº 7, de 2018)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45" authorId="0">
      <text>
        <r>
          <rPr>
            <b/>
            <sz val="9"/>
            <color indexed="81"/>
            <rFont val="Segoe UI"/>
            <family val="2"/>
          </rPr>
          <t>Nota 1: Os percentuais dos encargos previdenciários, do FGTS e demais contribuições são aqueles estabelecidos pela legislação vigente.
Nota 2: O SAT a depender do grau de risco do serviço irá variar entre 1%, para risco leve, de 2%, para risco médio, e de 3% de risco grave.
Nota 3: Esses percentuais incidem sobre o Módulo 1, o Submódulo 2.1. (Redação dada pela Instrução Normativa nº 7, de 2018)</t>
        </r>
      </text>
    </comment>
    <comment ref="I52" authorId="0">
      <text>
        <r>
          <rPr>
            <b/>
            <sz val="9"/>
            <color indexed="81"/>
            <rFont val="Segoe UI"/>
            <family val="2"/>
          </rPr>
          <t>INFORMAÇÃO A SER PREENCHIDA PELA LICITANTE (entre 1% e 3%)</t>
        </r>
      </text>
    </comment>
    <comment ref="A61" authorId="0">
      <text>
        <r>
          <rPr>
            <b/>
            <sz val="9"/>
            <color indexed="81"/>
            <rFont val="Segoe UI"/>
            <family val="2"/>
          </rPr>
          <t>Nota 1: O valor informado deverá ser o custo real do benefício (descontado o valor eventualmente pago pelo empregado).
Nota 2: Observar a previsão dos benefícios contidos em Acordos, Convenções e Dissídios Coletivos de Trabalho e atentar-se ao disposto no art. 6º desta Instrução Normativa.</t>
        </r>
      </text>
    </comment>
    <comment ref="A112" authorId="1">
      <text>
        <r>
          <rPr>
            <b/>
            <sz val="9"/>
            <color indexed="81"/>
            <rFont val="Segoe UI"/>
            <family val="2"/>
          </rPr>
          <t>Nota 1: Os itens que contemplam o módulo 4 se referem ao custo dos dias trabalhados pelo repositor/substituto, quando o empregado alocado na prestação de serviço estiver ausente, conforme as previsões estabelecidas na legislação.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145" authorId="0">
      <text>
        <r>
          <rPr>
            <b/>
            <sz val="9"/>
            <color indexed="81"/>
            <rFont val="Segoe UI"/>
            <family val="2"/>
          </rPr>
          <t xml:space="preserve">Nota: Valores mensais por empregado
</t>
        </r>
      </text>
    </comment>
    <comment ref="B158" authorId="0">
      <text>
        <r>
          <rPr>
            <b/>
            <sz val="9"/>
            <color indexed="81"/>
            <rFont val="Segoe UI"/>
            <family val="2"/>
          </rPr>
          <t xml:space="preserve">ATENÇÃO: OS PERCENTUAIS DEVEM SER AJUSTADOS AO REGIME DE FATURAMENTO DA LICITANTE.
OS PERCENTUAIS DE REFERÊNCIA SÃO PARA EMPRESAS QUE RECOLHEM SOBRE O LUCRO REAL. </t>
        </r>
      </text>
    </comment>
  </commentList>
</comments>
</file>

<file path=xl/comments3.xml><?xml version="1.0" encoding="utf-8"?>
<comments xmlns="http://schemas.openxmlformats.org/spreadsheetml/2006/main">
  <authors>
    <author>Henrique Pereira Soares</author>
    <author>Andreia Alves de Lima</author>
  </authors>
  <commentList>
    <comment ref="A24" authorId="0">
      <text>
        <r>
          <rPr>
            <b/>
            <sz val="9"/>
            <color indexed="81"/>
            <rFont val="Segoe UI"/>
            <family val="2"/>
          </rPr>
          <t>NOTA 1: O Módulo 1 refere-se ao valor mensal devido ao empregado pela prestação do serviço no período de 12 meses.</t>
        </r>
      </text>
    </comment>
    <comment ref="A37" authorId="0">
      <text>
        <r>
          <rPr>
            <b/>
            <sz val="9"/>
            <color indexed="81"/>
            <rFont val="Segoe UI"/>
            <family val="2"/>
          </rPr>
          <t>Nota 1: Como a planilha de custos e formação de preços é calculada mensalmente, provisiona-se proporcionalmente 1/12 (um doze avos) dos valores referentes a gratificação natalina, férias e adicional de férias. (Redação dada pela Instrução Normativa nº 7, de 2018)
Nota 2: O adicional de férias contido no Submódulo 2.1 corresponde a 1/3 (um terço) da remuneração que por sua vez é divido por 12 (doze) conforme Nota 1 acima.
Nota 3: Levando em consideração a vigência contratual prevista no art. 57 da Lei nº 8.666, de 23 de junho de 1993, a rubrica férias tem como objetivo principal suprir a necessidade do pagamento das férias remuneradas ao final do contrato de 12 meses. Esta rubrica, quando da prorrogação contratual, torna-se custo não renovável.  (Incluído pela Instrução Normativa nº 7, de 2018)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45" authorId="0">
      <text>
        <r>
          <rPr>
            <b/>
            <sz val="9"/>
            <color indexed="81"/>
            <rFont val="Segoe UI"/>
            <family val="2"/>
          </rPr>
          <t>Nota 1: Os percentuais dos encargos previdenciários, do FGTS e demais contribuições são aqueles estabelecidos pela legislação vigente.
Nota 2: O SAT a depender do grau de risco do serviço irá variar entre 1%, para risco leve, de 2%, para risco médio, e de 3% de risco grave.
Nota 3: Esses percentuais incidem sobre o Módulo 1, o Submódulo 2.1. (Redação dada pela Instrução Normativa nº 7, de 2018)</t>
        </r>
      </text>
    </comment>
    <comment ref="I52" authorId="0">
      <text>
        <r>
          <rPr>
            <b/>
            <sz val="9"/>
            <color indexed="81"/>
            <rFont val="Segoe UI"/>
            <family val="2"/>
          </rPr>
          <t>INFORMAÇÃO A SER PREENCHIDA PELA LICITANTE (entre 1% e 3%)</t>
        </r>
      </text>
    </comment>
    <comment ref="A61" authorId="0">
      <text>
        <r>
          <rPr>
            <b/>
            <sz val="9"/>
            <color indexed="81"/>
            <rFont val="Segoe UI"/>
            <family val="2"/>
          </rPr>
          <t>Nota 1: O valor informado deverá ser o custo real do benefício (descontado o valor eventualmente pago pelo empregado).
Nota 2: Observar a previsão dos benefícios contidos em Acordos, Convenções e Dissídios Coletivos de Trabalho e atentar-se ao disposto no art. 6º desta Instrução Normativa.</t>
        </r>
      </text>
    </comment>
    <comment ref="A109" authorId="1">
      <text>
        <r>
          <rPr>
            <b/>
            <sz val="9"/>
            <color indexed="81"/>
            <rFont val="Segoe UI"/>
            <family val="2"/>
          </rPr>
          <t>Nota 1: Os itens que contemplam o módulo 4 se referem ao custo dos dias trabalhados pelo repositor/substituto, quando o empregado alocado na prestação de serviço estiver ausente, conforme as previsões estabelecidas na legislação.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142" authorId="0">
      <text>
        <r>
          <rPr>
            <b/>
            <sz val="9"/>
            <color indexed="81"/>
            <rFont val="Segoe UI"/>
            <family val="2"/>
          </rPr>
          <t xml:space="preserve">Nota: Valores mensais por empregado
</t>
        </r>
      </text>
    </comment>
    <comment ref="B155" authorId="0">
      <text>
        <r>
          <rPr>
            <b/>
            <sz val="9"/>
            <color indexed="81"/>
            <rFont val="Segoe UI"/>
            <family val="2"/>
          </rPr>
          <t xml:space="preserve">ATENÇÃO: OS PERCENTUAIS DEVEM SER AJUSTADOS AO REGIME DE FATURAMENTO DA LICITANTE.
OS PERCENTUAIS DE REFERÊNCIA SÃO PARA EMPRESAS QUE RECOLHEM SOBRE O LUCRO REAL. 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D3" authorId="0">
      <text>
        <r>
          <rPr>
            <b/>
            <sz val="9"/>
            <color indexed="8"/>
            <rFont val="Segoe UI"/>
            <family val="2"/>
          </rPr>
          <t xml:space="preserve">LESLIE SOARES PEREIRA:
</t>
        </r>
        <r>
          <rPr>
            <sz val="9"/>
            <color indexed="8"/>
            <rFont val="Segoe UI"/>
            <family val="2"/>
          </rPr>
          <t>Cláusula Quinquagésima</t>
        </r>
      </text>
    </comment>
  </commentList>
</comments>
</file>

<file path=xl/sharedStrings.xml><?xml version="1.0" encoding="utf-8"?>
<sst xmlns="http://schemas.openxmlformats.org/spreadsheetml/2006/main" count="1035" uniqueCount="325">
  <si>
    <t>I</t>
  </si>
  <si>
    <t>Objeto:</t>
  </si>
  <si>
    <t>Prestação de Serviços de Limpeza e Conservação</t>
  </si>
  <si>
    <t xml:space="preserve">Número do  Processo: </t>
  </si>
  <si>
    <t xml:space="preserve">Número da Licitação: </t>
  </si>
  <si>
    <t>Localidade</t>
  </si>
  <si>
    <t>DADOS REFERENTES À CONTRATAÇÃO E DISCRIMINAÇÃO DOS SERVIÇOS</t>
  </si>
  <si>
    <t>A</t>
  </si>
  <si>
    <t>Data de Apresentação da Proposta (Dia/Mês/Ano):</t>
  </si>
  <si>
    <t>B</t>
  </si>
  <si>
    <t>Município/UF:</t>
  </si>
  <si>
    <t>C</t>
  </si>
  <si>
    <t>Tipo de Serviço (CATSER)</t>
  </si>
  <si>
    <t>Serviços de Limpeza e Conservação - 25194</t>
  </si>
  <si>
    <t>D</t>
  </si>
  <si>
    <t>Unidade de Medida</t>
  </si>
  <si>
    <t>E</t>
  </si>
  <si>
    <t>Carga horária mensal (quantidade de horas)</t>
  </si>
  <si>
    <t>F</t>
  </si>
  <si>
    <t>Classificação Brasileira de Ocupações (CBO)</t>
  </si>
  <si>
    <t>5143-20</t>
  </si>
  <si>
    <t>G</t>
  </si>
  <si>
    <t>Categoria Profissional (vinculada à execução contratual)</t>
  </si>
  <si>
    <t>H</t>
  </si>
  <si>
    <t xml:space="preserve">Salário Mínimo Nacional </t>
  </si>
  <si>
    <t>J</t>
  </si>
  <si>
    <t xml:space="preserve">Nome do Sindicato / Registro da CCT no MTE </t>
  </si>
  <si>
    <t>K</t>
  </si>
  <si>
    <t>Mês e Ano da CCT/Sentença Normativa/Dissídio:</t>
  </si>
  <si>
    <t>L</t>
  </si>
  <si>
    <t>Data Base da Categoria</t>
  </si>
  <si>
    <t>01 DE JANEIRO</t>
  </si>
  <si>
    <t>M</t>
  </si>
  <si>
    <t>Número de Meses de Execução Contratual:</t>
  </si>
  <si>
    <t>MÓDULO 1 - COMPOSIÇÃO DA REMUNERAÇÃO</t>
  </si>
  <si>
    <t>VALOR</t>
  </si>
  <si>
    <t>Salário Base</t>
  </si>
  <si>
    <t>horas mensais</t>
  </si>
  <si>
    <t>Adicional de Periculosidade</t>
  </si>
  <si>
    <t xml:space="preserve">percentual </t>
  </si>
  <si>
    <t>Percentual Calculado sobre o salário mínimo vigente</t>
  </si>
  <si>
    <t>Adicional de Insalubridade</t>
  </si>
  <si>
    <t>Adicional Noturno</t>
  </si>
  <si>
    <t xml:space="preserve">E </t>
  </si>
  <si>
    <t>Adicional de Hora Noturna Reduzida</t>
  </si>
  <si>
    <t xml:space="preserve">Adicional de hora extra </t>
  </si>
  <si>
    <t>Porcentual (50% ou 100%)</t>
  </si>
  <si>
    <t>Qtde. estimada de horas/mês</t>
  </si>
  <si>
    <t xml:space="preserve">Valor da hora com adicional </t>
  </si>
  <si>
    <t>Outros (Especificar)</t>
  </si>
  <si>
    <t>TOTAL - MÓDULO 1 - REMUNERAÇÃO</t>
  </si>
  <si>
    <t>MÓDULO 2 - ENCARGOS E BENEFÍCIOS ANUAIS, MENSAIS E DIÁRIOS</t>
  </si>
  <si>
    <t>Submódulo 2.1 - 13º (décimo terceiro) Salário, Férias e Adicional de Férias</t>
  </si>
  <si>
    <t>Alíquota</t>
  </si>
  <si>
    <t>13º (décimo terceiro) Salário</t>
  </si>
  <si>
    <t>* Atenção: Os percentuais do submódulo 2.1 vinculam-se à opção de pagamento pelo fato gerador. Vide Caderno de Logística do Pagamento por Fato Gerador https://www.comprasgovernamentais.gov.br/images/conteudo/ArquivosCGNOR/fato_gerador.pdf</t>
  </si>
  <si>
    <t>Adicional de Férias</t>
  </si>
  <si>
    <t xml:space="preserve">Férias </t>
  </si>
  <si>
    <t>TOTAL Submódulo 2.1</t>
  </si>
  <si>
    <t>Submódulo 2.2 - Encargos Previdenciários (GPS), Fundo de Garantia (FGTS) e Outas Contribuições</t>
  </si>
  <si>
    <t>Módulo 1 - Composição da Remuneração</t>
  </si>
  <si>
    <t xml:space="preserve">Submódulo 2.1 </t>
  </si>
  <si>
    <t>Base de Cálculo: Módulo 1 + Submódulo 2.1</t>
  </si>
  <si>
    <t>INSS (Lei nº 8.212/1991, art. 22, I)</t>
  </si>
  <si>
    <t>Salário Educação (Decreto nº 87.043/1982, art. 3, I)</t>
  </si>
  <si>
    <t>Seguro Acidente de Trabalho = RAT x FAP (Decreto nº 3.048/1999)</t>
  </si>
  <si>
    <t>RAT (%)</t>
  </si>
  <si>
    <t>FAP (%)</t>
  </si>
  <si>
    <t>ATENÇÃO LICITANTE! O VALOR MÁXIMO ACEITO PARA O SAT (SEGURO ACIDENTE DE TRABALHO) É 3%, SENDO QUE, ESPECIFICAMENTE, PARA O FAP O FATOR MÁXIMO ACEITO É DE 1,0. ESSES LIMITES SERÃO OBSERVADOS NO RECEBIMENTO DAS PROPOSTAS.</t>
  </si>
  <si>
    <t>SESC ou SESI (Lei nº 8.036/1990, art. 3)</t>
  </si>
  <si>
    <t>SENAI ou SENAC (Decreto nº 2.318/1986)</t>
  </si>
  <si>
    <t>SEBRAE (Lei nº 8.029/1990 e Lei nº 8.154/1190)</t>
  </si>
  <si>
    <t>INCRA (Lei nº 7.787/1989 e DL nº 1.146/1970)</t>
  </si>
  <si>
    <t>FGTS (CF, art. 7º, III e Lei nº 8.030/1990, art. 15)</t>
  </si>
  <si>
    <t>TOTAL Submódulo 2.2</t>
  </si>
  <si>
    <t>Submódulo 2.3 - Benefícios Mensais e Diários</t>
  </si>
  <si>
    <t>ATENÇÃO: APAGAR BENEFÍCIOS QUE NÃO FOREM PREVISTOS NA CCT EM QUESTÃO. PARA FINS DE AFERIÇÃO, REFERENCIAR A CLÁUSULA DA CCT, AO LADO DA LINHA DE CADA BENEFÍCIO!</t>
  </si>
  <si>
    <t>Auxílio Transporte</t>
  </si>
  <si>
    <t>Nº Bilhetes</t>
  </si>
  <si>
    <t>Dias/Mês</t>
  </si>
  <si>
    <t>Valor da Tarifa</t>
  </si>
  <si>
    <t>Valor Descontado do Trabalhador (6%)</t>
  </si>
  <si>
    <t xml:space="preserve">Valor do Benefício </t>
  </si>
  <si>
    <t>Auxílio Alimentação</t>
  </si>
  <si>
    <t>Valor Descontado do Trabalhador</t>
  </si>
  <si>
    <t>Benefício Médico Ambulatorial e Odontológico</t>
  </si>
  <si>
    <t>Valor do Benefício</t>
  </si>
  <si>
    <t>Auxílio Creche</t>
  </si>
  <si>
    <t>Salário Normativo</t>
  </si>
  <si>
    <t>Valor Unitário</t>
  </si>
  <si>
    <t>Porcentual anual de incidência</t>
  </si>
  <si>
    <t>Outros (preencher)</t>
  </si>
  <si>
    <t>TOTAL Submódulo 2.3</t>
  </si>
  <si>
    <t>TOTAL - MÓDULO 2 - ENCARGOS E BENEFÍCIOS ANUAIS, MENSAIS E DIÁRIOS</t>
  </si>
  <si>
    <t>MÓDULO 3 - PROVISÃO PARA RESCISÃO</t>
  </si>
  <si>
    <t>Submódulo 3.1 - Aviso Prévio Indenizado</t>
  </si>
  <si>
    <t>Submódulo 2.1 - 13º Salário, Férias e Adicional de Férias</t>
  </si>
  <si>
    <t>Provisionamento para 12 meses (vigência contratual)</t>
  </si>
  <si>
    <t>Base de cálculo do Aviso Prévio Indenizado</t>
  </si>
  <si>
    <t>Valor do Aviso Prévio Indenizado</t>
  </si>
  <si>
    <t>Percentual de Incidência</t>
  </si>
  <si>
    <t>Valor</t>
  </si>
  <si>
    <t>Submódulo 3.2- Aviso Prévio Trabalhado</t>
  </si>
  <si>
    <t>Base de cálculo do Aviso Prévio Trabalhado</t>
  </si>
  <si>
    <t>Valor do Aviso Prévio Trabalhado</t>
  </si>
  <si>
    <t>TOTAL - MÓDULO 3 - PROVISÃO PARA RESCISÃO</t>
  </si>
  <si>
    <t>MÓDULO 4 - CUSTO DE REPOSIÇÃO DO PROFISSIONAL AUSENTE</t>
  </si>
  <si>
    <t>Submódulo 4.1 - Substituto nas Ausências Legais</t>
  </si>
  <si>
    <t>Módulo 2 - Encargos e Benefícios Anuais, Mensais e Diários</t>
  </si>
  <si>
    <t>Módulo 3 - Provisão para Rescisão</t>
  </si>
  <si>
    <t>Base de Cálculo: Módulo 1 + Módulo 2 + Módulo 3</t>
  </si>
  <si>
    <t>TOTAL Submódulo 4.1</t>
  </si>
  <si>
    <t>Submódulo 4.2 - Substituto na Intrajornada</t>
  </si>
  <si>
    <t>Substituto na cobertura de Intervalo para repouso ou alimentação</t>
  </si>
  <si>
    <t>TOTAL Submódulo 4.2</t>
  </si>
  <si>
    <t>TOTAL - MÓDULO 4 - CUSTO DE REPOSIÇÃO DO PROFISSIONAL AUSENTE</t>
  </si>
  <si>
    <t>MÓDULO 5 - INSUMOS DIVERSOS</t>
  </si>
  <si>
    <t>Uniformes</t>
  </si>
  <si>
    <t>Material de Limpeza e Equipamentos</t>
  </si>
  <si>
    <t>TOTAL - MÓDULO 5 - INSUMOS DIVERSOS</t>
  </si>
  <si>
    <t>CUSTOS DIRETOS (SOMATÓRIA DOS MÓDULOS 1+2+3+4+5)</t>
  </si>
  <si>
    <t>MÓDULO 6 - CUSTOS INDIRETOS, TRIBUTOS E LUCRO</t>
  </si>
  <si>
    <t>Base de Cálculo</t>
  </si>
  <si>
    <t>Custos Indiretos</t>
  </si>
  <si>
    <t>Lucro</t>
  </si>
  <si>
    <t>Tributos</t>
  </si>
  <si>
    <t>Tributos Federais</t>
  </si>
  <si>
    <t>PIS</t>
  </si>
  <si>
    <t>PIS: 0,65% - Lucro Presumido</t>
  </si>
  <si>
    <t>COFINS</t>
  </si>
  <si>
    <t>Cofins: 3,0% - Lucro Presumido</t>
  </si>
  <si>
    <t>OUTROS</t>
  </si>
  <si>
    <t xml:space="preserve">ISSQN: 5,0% - Máximo permitido (ANEXO 1 IN SF/SUREM Nº 8/2011) </t>
  </si>
  <si>
    <t>Tributos Municipais</t>
  </si>
  <si>
    <t>ISSQN</t>
  </si>
  <si>
    <t>Outros Tributos</t>
  </si>
  <si>
    <t>Total das alíquotas dos tributos</t>
  </si>
  <si>
    <t>TOTAL - MÓDULO 6 - CUSTOS INDIRETOS, TRIBUTOS E LUCRO</t>
  </si>
  <si>
    <t>QUADRO-RESUMO DO CUSTO POR EMPREGADO</t>
  </si>
  <si>
    <t>Módulo 4 - Custo para Reposição do Profissional Ausente</t>
  </si>
  <si>
    <t>Módulo 5 - Insumos Diversos</t>
  </si>
  <si>
    <t>Módulo 6 - Custos Indiretos, Tributos e Lucros</t>
  </si>
  <si>
    <t>VALOR TOTAL POR EMPREGADO</t>
  </si>
  <si>
    <t>Unidade</t>
  </si>
  <si>
    <r>
      <t xml:space="preserve">Adicional de Hora Extra: A ser paga </t>
    </r>
    <r>
      <rPr>
        <b/>
        <u/>
        <sz val="10"/>
        <rFont val="Calibri Light"/>
        <family val="2"/>
      </rPr>
      <t>apenas</t>
    </r>
    <r>
      <rPr>
        <b/>
        <sz val="10"/>
        <rFont val="Calibri Light"/>
        <family val="2"/>
      </rPr>
      <t xml:space="preserve"> na ocorrência do fato gerador (isto é, a eventual realização de horas extraordinárias) - Nos meses em que não houver ocorreência de horas extras, não deverá ser considerado para fins de cálculo algum. </t>
    </r>
  </si>
  <si>
    <t>Submódulo 2.2 - Apenas o FGTS</t>
  </si>
  <si>
    <t>Subtotal: Módulo 1 + Submódulo 2.1 + FGTS (Submódulo 2.2) + Submódulo 2.3</t>
  </si>
  <si>
    <t>Multa sobre o FGTS (40%)</t>
  </si>
  <si>
    <t>TOTAL Submódulo 3.1</t>
  </si>
  <si>
    <t>TOTAL Submódulo 3.2</t>
  </si>
  <si>
    <r>
      <t xml:space="preserve">Submódulo 3.3 - Acréscimo sobre o Aviso Prévio a ser considerado como indenizado </t>
    </r>
    <r>
      <rPr>
        <b/>
        <sz val="10"/>
        <color rgb="FFFF0000"/>
        <rFont val="Calibri Light"/>
        <family val="2"/>
        <scheme val="major"/>
      </rPr>
      <t>(Aplicável somente nos casos de prorrogação contratual)</t>
    </r>
  </si>
  <si>
    <t>Base de Cálculo: Submódulo 3.1 + Submódulo 3.2</t>
  </si>
  <si>
    <t>Provisionamento para cada ano completado (10%)</t>
  </si>
  <si>
    <t>Acrésimo de 3 dias por ano completado</t>
  </si>
  <si>
    <t>Quantidade de anos completados</t>
  </si>
  <si>
    <t>TOTAL Submódulo 3.3</t>
  </si>
  <si>
    <t>Cálculo do número de dias de reposição do profissional ausente para cada evento</t>
  </si>
  <si>
    <t>Evento</t>
  </si>
  <si>
    <t>Incidência anual</t>
  </si>
  <si>
    <t>Duração legal da ausência</t>
  </si>
  <si>
    <t>Proporção de dias afetados</t>
  </si>
  <si>
    <t>Dias de reposição</t>
  </si>
  <si>
    <t>Férias</t>
  </si>
  <si>
    <t>Ausência justificada</t>
  </si>
  <si>
    <t>Acidente de trabalho</t>
  </si>
  <si>
    <t>Afastamento por doença</t>
  </si>
  <si>
    <t>Consulta médica filho</t>
  </si>
  <si>
    <t>Óbitos na família</t>
  </si>
  <si>
    <t>Casamento</t>
  </si>
  <si>
    <t>Doação de sangue</t>
  </si>
  <si>
    <t>Testemunho</t>
  </si>
  <si>
    <t>Paternidade</t>
  </si>
  <si>
    <t>Maternidade</t>
  </si>
  <si>
    <t>Consulta pré-natal</t>
  </si>
  <si>
    <t>Limite de dias para reposição no ano</t>
  </si>
  <si>
    <t>Custo diário de reposição = (Módulo 1 + Módulo 2 + Módulo 3) / 30 dias</t>
  </si>
  <si>
    <t>Custo anual de reposição = Custo diário de reposição x Total de dias para reposição no ano</t>
  </si>
  <si>
    <t>Provisão mensal do custo de reposição</t>
  </si>
  <si>
    <t>OBSERVAÇÃO PARA O LICITANTE - CAMPOS EDITÁVEIS EM AMARELO</t>
  </si>
  <si>
    <t>ITEM</t>
  </si>
  <si>
    <t>ESPECIFICAÇÃO</t>
  </si>
  <si>
    <t>Reposição  a cada quantos MESES?</t>
  </si>
  <si>
    <t>Quantidade</t>
  </si>
  <si>
    <t>Álcool líquido 70% e/ou 90%</t>
  </si>
  <si>
    <t>1 litro</t>
  </si>
  <si>
    <t xml:space="preserve">Desinfetante de uso geral </t>
  </si>
  <si>
    <t>galão 5 litros</t>
  </si>
  <si>
    <t>Desodorizador de ambiente, fragrância lavanda ou similar</t>
  </si>
  <si>
    <t>unidade</t>
  </si>
  <si>
    <t>Esponja de fibra com dupla face (verde e amarelo)</t>
  </si>
  <si>
    <t>Limpador multiuso</t>
  </si>
  <si>
    <t>Par</t>
  </si>
  <si>
    <t>Pano de chão/saco alvejado</t>
  </si>
  <si>
    <t>Fardo com 100 unidades</t>
  </si>
  <si>
    <t>DESCRIÇÃO</t>
  </si>
  <si>
    <t>CUSTO UNITÁRIO</t>
  </si>
  <si>
    <t xml:space="preserve">QTDE ANUAL </t>
  </si>
  <si>
    <t>VIDA ÚTIL (MESES)</t>
  </si>
  <si>
    <t>CUSTO MENSAL</t>
  </si>
  <si>
    <t>Calça de brim / elanca com elástico</t>
  </si>
  <si>
    <t>Camiseta manga curta, malha fria</t>
  </si>
  <si>
    <t>Par de meias de algodão</t>
  </si>
  <si>
    <t>Sapato preto com sola de borracha antiderrapante</t>
  </si>
  <si>
    <t>Bota de borracha antiderrapante</t>
  </si>
  <si>
    <t>CUSTO TOTAL MENSAL POR POSTO</t>
  </si>
  <si>
    <t>VALOR UNITÁRIO</t>
  </si>
  <si>
    <t>MATERIAIS DESCARTÁVEIS</t>
  </si>
  <si>
    <t>Posto</t>
  </si>
  <si>
    <t>Auxílio Creche: Percentual Anual de Incidência - Memória de Cálculo: Quantidade de crianças matriculadas em creches no Estado de SP / divido pela quantidade de mulheres entre 10 e 55 anos vivendo no Estado de SP. A definição da fórmula foi extraída do Caderno de Logística para Serviços de Limpeza, Asseio e Conservação do MPDG.</t>
  </si>
  <si>
    <t>UNIDADE DE MEDIDA</t>
  </si>
  <si>
    <t>VALOR TOTAL MENSAL</t>
  </si>
  <si>
    <t>VALOR TOTAL ANUAL</t>
  </si>
  <si>
    <t>Papel Higiênico</t>
  </si>
  <si>
    <t>Papel Toalha</t>
  </si>
  <si>
    <t>Total Mensal</t>
  </si>
  <si>
    <t>Total Anual</t>
  </si>
  <si>
    <t>Preço Unitário</t>
  </si>
  <si>
    <t>Preço Mensal</t>
  </si>
  <si>
    <t>Total mensal com tributos</t>
  </si>
  <si>
    <t>Total mensal sem tributos</t>
  </si>
  <si>
    <t>PLANILHA DE EQUIPAMENTOS</t>
  </si>
  <si>
    <t>PLANILHA DE MATERIAIS DE LIMPEZA</t>
  </si>
  <si>
    <t xml:space="preserve">Lucro e Custos Indiretos do CATSER LIMPEZA - DEZ/2021
</t>
  </si>
  <si>
    <t>QUANTIDADE/ QUANTIDADE ESTIMADA (MENSAL)</t>
  </si>
  <si>
    <t>QUANTIDADE/ QUANTIDADE ESTIMADA (ANUAL)</t>
  </si>
  <si>
    <t>VALOR MÁXIMO ACEITÁVEL (UNITÁRIO)</t>
  </si>
  <si>
    <t>VALOR GLOBAL ESTIMADO</t>
  </si>
  <si>
    <t>Serviço de Limpeza</t>
  </si>
  <si>
    <t>Sabonete Líquido</t>
  </si>
  <si>
    <r>
      <t xml:space="preserve">VALOR TOTAL ESTIMADO/ VALOR ANUAL </t>
    </r>
    <r>
      <rPr>
        <b/>
        <u/>
        <sz val="11"/>
        <color rgb="FF000000"/>
        <rFont val="Calibri"/>
        <family val="2"/>
        <scheme val="minor"/>
      </rPr>
      <t>ESTIMADO</t>
    </r>
  </si>
  <si>
    <t>VALOR MENSAL ESTIMADO</t>
  </si>
  <si>
    <t>UNIFORMES</t>
  </si>
  <si>
    <t>CATSER/CATMAT</t>
  </si>
  <si>
    <t>Escada de aço/alumínio com 7 (sete) degraus</t>
  </si>
  <si>
    <t xml:space="preserve">Preço Unitário </t>
  </si>
  <si>
    <t>Saco para lixo de 20 litros, cor preta</t>
  </si>
  <si>
    <t>Saco para lixo de 100 litros, cor preta</t>
  </si>
  <si>
    <t>Lã de Aço</t>
  </si>
  <si>
    <t>Limpa Vidros</t>
  </si>
  <si>
    <t>pacote</t>
  </si>
  <si>
    <t>Lustra Móveis (fragrância lavanda ou similar)</t>
  </si>
  <si>
    <t>Sabão em Pó</t>
  </si>
  <si>
    <t>caixa 1 kg</t>
  </si>
  <si>
    <t>Auxílio Refeição</t>
  </si>
  <si>
    <t>200 horas mensais</t>
  </si>
  <si>
    <t>Malha de lã ou moletom, manga longa, gola careca</t>
  </si>
  <si>
    <t>Detergente neutro líquido para uso geral</t>
  </si>
  <si>
    <t>Frasco 200 ml</t>
  </si>
  <si>
    <t>QTDE. MENSAL ESTIMADA</t>
  </si>
  <si>
    <t>QTDE. ANUAL ESTIMADA</t>
  </si>
  <si>
    <t>Balde plástico 10 (dez) litros</t>
  </si>
  <si>
    <t>Extensão elétrica com 40 (metros) de cabo</t>
  </si>
  <si>
    <t>Lavadora de alta pressão, com mangueira longa</t>
  </si>
  <si>
    <t>Placa Sinalizadora "Piso Molhado"</t>
  </si>
  <si>
    <t>Vassoura de nylon com 40 cm de lagura, com cabo</t>
  </si>
  <si>
    <t>Vassoura de pelos com 40 cm de lagura, com cabo</t>
  </si>
  <si>
    <t>Rodo com 2 (duas) borrachas com 40 cm de largura, com cabo</t>
  </si>
  <si>
    <t>Auxiliar de Limpeza - 40 horas semanais - Diurno</t>
  </si>
  <si>
    <t>Rodo específico para limpeza de vidros</t>
  </si>
  <si>
    <t>Lavadora tanquinho</t>
  </si>
  <si>
    <t>Vassoura sanitária</t>
  </si>
  <si>
    <t>Escova de mão</t>
  </si>
  <si>
    <t>Limpa pedra</t>
  </si>
  <si>
    <t>Sabão de coco em barra</t>
  </si>
  <si>
    <t>Saponáceo cremoso</t>
  </si>
  <si>
    <t>Limpador de inox</t>
  </si>
  <si>
    <t>pacote com 5 unidades</t>
  </si>
  <si>
    <t>frasco 300 ml</t>
  </si>
  <si>
    <t xml:space="preserve">Valência / Veja / Sanol </t>
  </si>
  <si>
    <t xml:space="preserve">Itajá / Tupi / Coperalcool </t>
  </si>
  <si>
    <t>Glade / Bom Ar</t>
  </si>
  <si>
    <t>Ypê / Limpol / Minuano</t>
  </si>
  <si>
    <t>Condor/ Bettanin / Santa Maria</t>
  </si>
  <si>
    <t>BomBril / Assolan /Scotch Brite</t>
  </si>
  <si>
    <t>-</t>
  </si>
  <si>
    <t>BomBril / Assolan / Brillo</t>
  </si>
  <si>
    <t>Uau / Sanol / Limpol</t>
  </si>
  <si>
    <t xml:space="preserve">Pedrex / Sanol </t>
  </si>
  <si>
    <t>Destac / Poliflor / Bravo</t>
  </si>
  <si>
    <t>Sanro / Descarpack / Talge / 3M</t>
  </si>
  <si>
    <t>Marca(s) de Referência</t>
  </si>
  <si>
    <t xml:space="preserve">ITEM </t>
  </si>
  <si>
    <t>Ypê / Minuano / Urca</t>
  </si>
  <si>
    <t>Omo / Brilhante / Urca / Tixan</t>
  </si>
  <si>
    <t>Zapack / Ecomax Reforçado</t>
  </si>
  <si>
    <t>Sapólio / CIF / Assolan</t>
  </si>
  <si>
    <t>Aspirador de pó e água, capacidade 20 litros, 1400W</t>
  </si>
  <si>
    <t>Pá coletora de lixo. Material coletor de poliestireno. Com cabo de madeira de 80 cm</t>
  </si>
  <si>
    <t xml:space="preserve">Água sanitária  </t>
  </si>
  <si>
    <t>Flanela branca de 1ª qualidade, medindo 40cm x 60cm</t>
  </si>
  <si>
    <t>Mangueira com no mínimo 50 metros de extensão, com esguicho</t>
  </si>
  <si>
    <t>JAN/2023</t>
  </si>
  <si>
    <r>
      <t>Salário Normativo da Categoria Profissional</t>
    </r>
    <r>
      <rPr>
        <sz val="10"/>
        <rFont val="Calibri Light"/>
        <family val="2"/>
      </rPr>
      <t xml:space="preserve"> (40 horas semanais/200 horas semanais)</t>
    </r>
  </si>
  <si>
    <r>
      <t>ANEXO IV</t>
    </r>
    <r>
      <rPr>
        <b/>
        <sz val="10"/>
        <rFont val="Calibri Light"/>
        <family val="2"/>
      </rPr>
      <t xml:space="preserve"> - PLANILHA DE CUSTOS E FORMAÇÃO DE PREÇOS</t>
    </r>
  </si>
  <si>
    <t xml:space="preserve">Benefício Social Sindical </t>
  </si>
  <si>
    <t>Benefício Social Sindical</t>
  </si>
  <si>
    <t>Subseção Araçatuba</t>
  </si>
  <si>
    <t>Subseção Campinas</t>
  </si>
  <si>
    <t>Subseção Pres Prudente</t>
  </si>
  <si>
    <t>Subseção Presidente Prudente</t>
  </si>
  <si>
    <t>Araçatuba / SP</t>
  </si>
  <si>
    <t>SUBSEÇÃO ARAÇATUBA</t>
  </si>
  <si>
    <t>GRUPO 1 - SUBSEÇÃO ARAÇATUBA</t>
  </si>
  <si>
    <t>VALOR TOTAL ESTIMADO DA CONTRATAÇÃO - GRUPO 1 (SUBSEÇÃO ARAÇATUBA)</t>
  </si>
  <si>
    <t>GRUPO 2 - SUBSEÇÃO CAMPINAS</t>
  </si>
  <si>
    <t>VALOR TOTAL ESTIMADO DA CONTRATAÇÃO - GRUPO 2 (SUBSEÇÃO CAMPINAS)</t>
  </si>
  <si>
    <t>GRUPO 3 - SUBSEÇÃO PRESIDENTE PRUDENTE</t>
  </si>
  <si>
    <t>VALOR TOTAL ESTIMADO DA CONTRATAÇÃO - GRUPO 3 (SUBSEÇÃO PRESIDENTE PRUDENTE)</t>
  </si>
  <si>
    <t>VALOR TOTAL ESTIMADO DA CONTRATAÇÃO - GRUPOS 1 a 3 (12 MESES)</t>
  </si>
  <si>
    <t>SUBSEÇÃO CAMPINAS</t>
  </si>
  <si>
    <t>Campinas / SP</t>
  </si>
  <si>
    <t>SUBSEÇÃO PRESIDENTE PRUDENTE</t>
  </si>
  <si>
    <t>Presidente Prudente / SP</t>
  </si>
  <si>
    <t>SIEMACO - SP003581/2023</t>
  </si>
  <si>
    <t xml:space="preserve">SIEMACO - SP001635/2023 </t>
  </si>
  <si>
    <t>SIEMACO - SP001762/2023</t>
  </si>
  <si>
    <t>Brilhante / Suprema/ Cândida</t>
  </si>
  <si>
    <t>Larimp/Buterfly</t>
  </si>
  <si>
    <t>Buterfly/Veja</t>
  </si>
  <si>
    <t>Luva látex forrada - multiuso (P, M ou G)</t>
  </si>
  <si>
    <t>Vassoura caipira</t>
  </si>
  <si>
    <t>Saco para lixo de 60 litros, cor preta</t>
  </si>
  <si>
    <t>Saco para lixo de 30 litros, cor preta</t>
  </si>
  <si>
    <t>ANEXO IV - PLANILHA DE CUSTOS E FORMAÇÃO DE PREÇOS
Pregão Eletrônico nº __/2023 – Processo Administrativo nº 4188/2023</t>
  </si>
  <si>
    <t>PA nº 4188/2023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</si>
</sst>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R$&quot;\ * #,##0.00_-;\-&quot;R$&quot;\ * #,##0.00_-;_-&quot;R$&quot;\ * &quot;-&quot;??_-;_-@_-"/>
    <numFmt numFmtId="164" formatCode="&quot;R$ &quot;#,##0.00"/>
    <numFmt numFmtId="165" formatCode="0.000"/>
    <numFmt numFmtId="166" formatCode="&quot;R$&quot;#,##0.00"/>
    <numFmt numFmtId="167" formatCode="0.0000"/>
    <numFmt numFmtId="168" formatCode="0.0000%"/>
    <numFmt numFmtId="169" formatCode="&quot;R$ &quot;#,##0.00;[Red]&quot;-R$ &quot;#,##0.00"/>
    <numFmt numFmtId="170" formatCode="&quot; R$ &quot;#,##0.00\ ;&quot; R$ (&quot;#,##0.00\);&quot; R$ -&quot;#\ ;@\ "/>
    <numFmt numFmtId="171" formatCode="_-&quot;R$&quot;* #,##0.00_-;\-&quot;R$&quot;* #,##0.00_-;_-&quot;R$&quot;* &quot;-&quot;??_-;_-@_-"/>
    <numFmt numFmtId="172" formatCode="&quot;R$&quot;\ #,##0.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Calibri Light"/>
      <family val="2"/>
      <charset val="1"/>
    </font>
    <font>
      <sz val="10"/>
      <color indexed="8"/>
      <name val="Calibri Light"/>
      <family val="2"/>
      <charset val="1"/>
    </font>
    <font>
      <b/>
      <sz val="10"/>
      <name val="Calibri Light"/>
      <family val="2"/>
      <scheme val="major"/>
    </font>
    <font>
      <b/>
      <sz val="10"/>
      <name val="Calibri Light"/>
      <family val="2"/>
    </font>
    <font>
      <sz val="11"/>
      <color indexed="8"/>
      <name val="Calibri Light"/>
      <family val="2"/>
      <scheme val="major"/>
    </font>
    <font>
      <sz val="11"/>
      <name val="Calibri Light"/>
      <family val="2"/>
      <scheme val="major"/>
    </font>
    <font>
      <sz val="10"/>
      <color indexed="8"/>
      <name val="Calibri Light"/>
      <family val="2"/>
      <scheme val="major"/>
    </font>
    <font>
      <b/>
      <sz val="10"/>
      <color indexed="8"/>
      <name val="Calibri Light"/>
      <family val="2"/>
      <scheme val="major"/>
    </font>
    <font>
      <sz val="10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name val="Calibri Light"/>
      <family val="2"/>
    </font>
    <font>
      <b/>
      <sz val="11"/>
      <name val="Calibri Light"/>
      <family val="2"/>
      <scheme val="major"/>
    </font>
    <font>
      <b/>
      <u/>
      <sz val="10"/>
      <name val="Calibri Light"/>
      <family val="2"/>
    </font>
    <font>
      <sz val="10"/>
      <color rgb="FF000000"/>
      <name val="Calibri Light"/>
      <family val="2"/>
      <scheme val="major"/>
    </font>
    <font>
      <b/>
      <sz val="8"/>
      <name val="Calibri Light"/>
      <family val="2"/>
      <scheme val="major"/>
    </font>
    <font>
      <b/>
      <sz val="10"/>
      <color rgb="FFFF000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indexed="9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0"/>
      <color indexed="8"/>
      <name val="Calibri Light"/>
      <family val="2"/>
    </font>
    <font>
      <sz val="10"/>
      <color indexed="8"/>
      <name val="Arial"/>
      <family val="2"/>
      <charset val="1"/>
    </font>
    <font>
      <sz val="10"/>
      <color indexed="8"/>
      <name val="Calibri"/>
      <family val="2"/>
      <charset val="1"/>
    </font>
    <font>
      <b/>
      <sz val="12"/>
      <color indexed="8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9"/>
      <color indexed="8"/>
      <name val="Segoe UI"/>
      <family val="2"/>
    </font>
    <font>
      <sz val="9"/>
      <color indexed="8"/>
      <name val="Segoe UI"/>
      <family val="2"/>
    </font>
    <font>
      <b/>
      <sz val="9"/>
      <name val="Calibri Light"/>
      <family val="2"/>
      <scheme val="maj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FF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9"/>
      <color rgb="FF000000"/>
      <name val="Calibri Light"/>
      <family val="2"/>
      <scheme val="major"/>
    </font>
    <font>
      <b/>
      <sz val="9"/>
      <color rgb="FFFF0000"/>
      <name val="Calibri Light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theme="9" tint="0.59999389629810485"/>
        <bgColor indexed="43"/>
      </patternFill>
    </fill>
    <fill>
      <patternFill patternType="solid">
        <fgColor theme="9" tint="0.59999389629810485"/>
        <bgColor indexed="34"/>
      </patternFill>
    </fill>
    <fill>
      <patternFill patternType="solid">
        <fgColor theme="9" tint="0.79998168889431442"/>
        <bgColor indexed="34"/>
      </patternFill>
    </fill>
    <fill>
      <patternFill patternType="solid">
        <fgColor rgb="FFFFFF00"/>
        <bgColor indexed="41"/>
      </patternFill>
    </fill>
    <fill>
      <patternFill patternType="solid">
        <fgColor indexed="23"/>
        <bgColor indexed="19"/>
      </patternFill>
    </fill>
    <fill>
      <patternFill patternType="solid">
        <fgColor indexed="42"/>
        <bgColor indexed="31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58"/>
      </patternFill>
    </fill>
    <fill>
      <patternFill patternType="solid">
        <fgColor theme="9" tint="0.79998168889431442"/>
        <bgColor indexed="31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42"/>
      </patternFill>
    </fill>
    <fill>
      <patternFill patternType="solid">
        <fgColor indexed="26"/>
        <bgColor indexed="43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2"/>
      </patternFill>
    </fill>
    <fill>
      <patternFill patternType="solid">
        <fgColor theme="0" tint="-0.249977111117893"/>
        <bgColor rgb="FFCCFFFF"/>
      </patternFill>
    </fill>
    <fill>
      <patternFill patternType="solid">
        <fgColor rgb="FFFFFFFF"/>
        <bgColor indexed="64"/>
      </patternFill>
    </fill>
    <fill>
      <patternFill patternType="solid">
        <fgColor indexed="55"/>
        <bgColor indexed="44"/>
      </patternFill>
    </fill>
    <fill>
      <patternFill patternType="solid">
        <fgColor theme="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CC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41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70" fontId="24" fillId="0" borderId="0" applyBorder="0" applyProtection="0"/>
    <xf numFmtId="9" fontId="1" fillId="0" borderId="0" applyFont="0" applyFill="0" applyBorder="0" applyAlignment="0" applyProtection="0"/>
  </cellStyleXfs>
  <cellXfs count="303">
    <xf numFmtId="0" fontId="0" fillId="0" borderId="0" xfId="0"/>
    <xf numFmtId="0" fontId="8" fillId="7" borderId="5" xfId="0" applyFont="1" applyFill="1" applyBorder="1" applyAlignment="1" applyProtection="1">
      <alignment horizontal="center" vertical="center" wrapText="1"/>
      <protection locked="0"/>
    </xf>
    <xf numFmtId="49" fontId="8" fillId="7" borderId="5" xfId="0" applyNumberFormat="1" applyFont="1" applyFill="1" applyBorder="1" applyAlignment="1" applyProtection="1">
      <alignment horizontal="center" vertical="center" wrapText="1"/>
      <protection locked="0"/>
    </xf>
    <xf numFmtId="14" fontId="8" fillId="7" borderId="5" xfId="0" applyNumberFormat="1" applyFont="1" applyFill="1" applyBorder="1" applyAlignment="1" applyProtection="1">
      <alignment horizontal="center" vertical="center"/>
      <protection locked="0"/>
    </xf>
    <xf numFmtId="1" fontId="18" fillId="7" borderId="5" xfId="0" applyNumberFormat="1" applyFont="1" applyFill="1" applyBorder="1" applyAlignment="1" applyProtection="1">
      <alignment horizontal="center" vertical="center"/>
      <protection locked="0"/>
    </xf>
    <xf numFmtId="167" fontId="8" fillId="20" borderId="5" xfId="0" applyNumberFormat="1" applyFont="1" applyFill="1" applyBorder="1" applyAlignment="1" applyProtection="1">
      <alignment horizontal="center" vertical="center"/>
      <protection locked="0"/>
    </xf>
    <xf numFmtId="164" fontId="10" fillId="10" borderId="5" xfId="0" applyNumberFormat="1" applyFont="1" applyFill="1" applyBorder="1" applyAlignment="1">
      <alignment horizontal="center" vertical="center" wrapText="1"/>
    </xf>
    <xf numFmtId="1" fontId="8" fillId="10" borderId="5" xfId="0" applyNumberFormat="1" applyFont="1" applyFill="1" applyBorder="1" applyAlignment="1">
      <alignment horizontal="center" vertical="center"/>
    </xf>
    <xf numFmtId="164" fontId="8" fillId="10" borderId="5" xfId="0" applyNumberFormat="1" applyFont="1" applyFill="1" applyBorder="1" applyAlignment="1">
      <alignment horizontal="center" vertical="center" wrapText="1"/>
    </xf>
    <xf numFmtId="1" fontId="8" fillId="10" borderId="5" xfId="0" applyNumberFormat="1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/>
    </xf>
    <xf numFmtId="165" fontId="13" fillId="11" borderId="6" xfId="0" applyNumberFormat="1" applyFont="1" applyFill="1" applyBorder="1" applyAlignment="1">
      <alignment vertical="center"/>
    </xf>
    <xf numFmtId="165" fontId="13" fillId="11" borderId="7" xfId="0" applyNumberFormat="1" applyFont="1" applyFill="1" applyBorder="1" applyAlignment="1">
      <alignment vertical="center"/>
    </xf>
    <xf numFmtId="165" fontId="13" fillId="11" borderId="8" xfId="0" applyNumberFormat="1" applyFont="1" applyFill="1" applyBorder="1" applyAlignment="1">
      <alignment vertical="center"/>
    </xf>
    <xf numFmtId="165" fontId="13" fillId="11" borderId="9" xfId="0" applyNumberFormat="1" applyFont="1" applyFill="1" applyBorder="1" applyAlignment="1">
      <alignment vertical="center"/>
    </xf>
    <xf numFmtId="165" fontId="13" fillId="11" borderId="10" xfId="0" applyNumberFormat="1" applyFont="1" applyFill="1" applyBorder="1" applyAlignment="1">
      <alignment vertical="center"/>
    </xf>
    <xf numFmtId="165" fontId="13" fillId="11" borderId="11" xfId="0" applyNumberFormat="1" applyFont="1" applyFill="1" applyBorder="1" applyAlignment="1">
      <alignment vertical="center"/>
    </xf>
    <xf numFmtId="164" fontId="9" fillId="9" borderId="5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64" fontId="9" fillId="24" borderId="5" xfId="0" applyNumberFormat="1" applyFont="1" applyFill="1" applyBorder="1" applyAlignment="1">
      <alignment horizontal="center" vertical="center"/>
    </xf>
    <xf numFmtId="0" fontId="9" fillId="13" borderId="5" xfId="0" applyFont="1" applyFill="1" applyBorder="1" applyAlignment="1">
      <alignment horizontal="center" vertical="center"/>
    </xf>
    <xf numFmtId="0" fontId="30" fillId="0" borderId="0" xfId="0" applyFont="1" applyAlignment="1">
      <alignment horizontal="justify" vertical="center" wrapText="1"/>
    </xf>
    <xf numFmtId="164" fontId="9" fillId="17" borderId="5" xfId="0" applyNumberFormat="1" applyFont="1" applyFill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9" fillId="19" borderId="5" xfId="0" applyNumberFormat="1" applyFont="1" applyFill="1" applyBorder="1" applyAlignment="1">
      <alignment horizontal="center" vertical="center"/>
    </xf>
    <xf numFmtId="0" fontId="9" fillId="24" borderId="5" xfId="0" applyFont="1" applyFill="1" applyBorder="1" applyAlignment="1">
      <alignment horizontal="center" vertical="center" wrapText="1"/>
    </xf>
    <xf numFmtId="167" fontId="8" fillId="0" borderId="5" xfId="0" applyNumberFormat="1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164" fontId="9" fillId="11" borderId="5" xfId="0" applyNumberFormat="1" applyFont="1" applyFill="1" applyBorder="1" applyAlignment="1">
      <alignment horizontal="center" vertical="center"/>
    </xf>
    <xf numFmtId="169" fontId="9" fillId="9" borderId="5" xfId="0" applyNumberFormat="1" applyFont="1" applyFill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164" fontId="8" fillId="14" borderId="5" xfId="0" applyNumberFormat="1" applyFont="1" applyFill="1" applyBorder="1" applyAlignment="1">
      <alignment horizontal="center" vertical="center"/>
    </xf>
    <xf numFmtId="164" fontId="19" fillId="3" borderId="5" xfId="0" applyNumberFormat="1" applyFont="1" applyFill="1" applyBorder="1" applyAlignment="1">
      <alignment horizontal="center" vertical="center"/>
    </xf>
    <xf numFmtId="44" fontId="27" fillId="7" borderId="1" xfId="1" applyFont="1" applyFill="1" applyBorder="1" applyAlignment="1" applyProtection="1">
      <alignment horizontal="center" vertical="center"/>
      <protection locked="0"/>
    </xf>
    <xf numFmtId="0" fontId="25" fillId="0" borderId="0" xfId="0" applyFont="1"/>
    <xf numFmtId="0" fontId="9" fillId="28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169" fontId="8" fillId="0" borderId="1" xfId="0" applyNumberFormat="1" applyFont="1" applyBorder="1" applyAlignment="1">
      <alignment horizontal="center" vertical="center" wrapText="1"/>
    </xf>
    <xf numFmtId="169" fontId="9" fillId="27" borderId="1" xfId="0" applyNumberFormat="1" applyFont="1" applyFill="1" applyBorder="1" applyAlignment="1">
      <alignment horizontal="center" vertical="center" wrapText="1"/>
    </xf>
    <xf numFmtId="0" fontId="31" fillId="23" borderId="5" xfId="0" applyFont="1" applyFill="1" applyBorder="1" applyAlignment="1">
      <alignment horizontal="center" vertical="center" wrapText="1"/>
    </xf>
    <xf numFmtId="0" fontId="33" fillId="11" borderId="5" xfId="0" applyFont="1" applyFill="1" applyBorder="1" applyAlignment="1">
      <alignment horizontal="center" vertical="center" wrapText="1"/>
    </xf>
    <xf numFmtId="0" fontId="0" fillId="11" borderId="0" xfId="0" applyFill="1"/>
    <xf numFmtId="0" fontId="35" fillId="0" borderId="0" xfId="0" applyFont="1"/>
    <xf numFmtId="0" fontId="36" fillId="23" borderId="5" xfId="0" applyFont="1" applyFill="1" applyBorder="1" applyAlignment="1">
      <alignment horizontal="center" vertical="center"/>
    </xf>
    <xf numFmtId="0" fontId="36" fillId="23" borderId="5" xfId="0" applyFont="1" applyFill="1" applyBorder="1" applyAlignment="1">
      <alignment horizontal="center" vertical="center" wrapText="1"/>
    </xf>
    <xf numFmtId="0" fontId="35" fillId="0" borderId="5" xfId="0" applyFont="1" applyBorder="1" applyAlignment="1">
      <alignment horizontal="center"/>
    </xf>
    <xf numFmtId="0" fontId="35" fillId="0" borderId="5" xfId="0" applyFont="1" applyBorder="1" applyAlignment="1">
      <alignment horizontal="left"/>
    </xf>
    <xf numFmtId="44" fontId="35" fillId="22" borderId="5" xfId="1" applyFont="1" applyFill="1" applyBorder="1" applyAlignment="1" applyProtection="1">
      <alignment horizontal="center"/>
      <protection locked="0"/>
    </xf>
    <xf numFmtId="44" fontId="35" fillId="0" borderId="5" xfId="1" applyFont="1" applyBorder="1" applyAlignment="1" applyProtection="1">
      <alignment horizontal="center"/>
    </xf>
    <xf numFmtId="0" fontId="3" fillId="0" borderId="1" xfId="0" applyFont="1" applyBorder="1" applyAlignment="1">
      <alignment horizontal="center" vertical="center"/>
    </xf>
    <xf numFmtId="166" fontId="3" fillId="20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5" xfId="0" applyNumberFormat="1" applyFont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8" fillId="7" borderId="5" xfId="0" applyFont="1" applyFill="1" applyBorder="1" applyAlignment="1" applyProtection="1">
      <alignment horizontal="center" vertical="center"/>
      <protection locked="0"/>
    </xf>
    <xf numFmtId="10" fontId="8" fillId="7" borderId="5" xfId="0" applyNumberFormat="1" applyFont="1" applyFill="1" applyBorder="1" applyAlignment="1" applyProtection="1">
      <alignment horizontal="center" vertical="center"/>
      <protection locked="0"/>
    </xf>
    <xf numFmtId="0" fontId="9" fillId="24" borderId="5" xfId="0" applyFont="1" applyFill="1" applyBorder="1" applyAlignment="1">
      <alignment horizontal="center" vertical="center"/>
    </xf>
    <xf numFmtId="164" fontId="8" fillId="7" borderId="5" xfId="0" applyNumberFormat="1" applyFont="1" applyFill="1" applyBorder="1" applyAlignment="1" applyProtection="1">
      <alignment horizontal="center" vertical="center"/>
      <protection locked="0"/>
    </xf>
    <xf numFmtId="164" fontId="8" fillId="10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0" fontId="8" fillId="10" borderId="5" xfId="0" applyNumberFormat="1" applyFont="1" applyFill="1" applyBorder="1" applyAlignment="1">
      <alignment horizontal="center" vertical="center"/>
    </xf>
    <xf numFmtId="0" fontId="33" fillId="22" borderId="5" xfId="0" applyFont="1" applyFill="1" applyBorder="1" applyAlignment="1">
      <alignment horizontal="center" vertical="center" wrapText="1"/>
    </xf>
    <xf numFmtId="0" fontId="39" fillId="0" borderId="34" xfId="0" applyFont="1" applyBorder="1" applyAlignment="1">
      <alignment vertical="center"/>
    </xf>
    <xf numFmtId="0" fontId="40" fillId="11" borderId="0" xfId="0" applyFont="1" applyFill="1"/>
    <xf numFmtId="0" fontId="40" fillId="0" borderId="0" xfId="0" applyFont="1"/>
    <xf numFmtId="0" fontId="39" fillId="25" borderId="17" xfId="0" applyFont="1" applyFill="1" applyBorder="1" applyAlignment="1">
      <alignment horizontal="center" vertical="center" wrapText="1"/>
    </xf>
    <xf numFmtId="0" fontId="39" fillId="25" borderId="5" xfId="0" applyFont="1" applyFill="1" applyBorder="1" applyAlignment="1">
      <alignment horizontal="center" vertical="center" wrapText="1"/>
    </xf>
    <xf numFmtId="171" fontId="39" fillId="25" borderId="5" xfId="0" applyNumberFormat="1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/>
    </xf>
    <xf numFmtId="0" fontId="41" fillId="11" borderId="5" xfId="0" applyFont="1" applyFill="1" applyBorder="1" applyAlignment="1">
      <alignment horizontal="center" vertical="center" wrapText="1"/>
    </xf>
    <xf numFmtId="44" fontId="40" fillId="7" borderId="4" xfId="1" applyFont="1" applyFill="1" applyBorder="1" applyAlignment="1" applyProtection="1">
      <alignment horizontal="center" vertical="center"/>
      <protection locked="0"/>
    </xf>
    <xf numFmtId="0" fontId="41" fillId="26" borderId="5" xfId="0" applyFont="1" applyFill="1" applyBorder="1" applyAlignment="1">
      <alignment horizontal="center" vertical="center"/>
    </xf>
    <xf numFmtId="0" fontId="41" fillId="11" borderId="5" xfId="0" applyFont="1" applyFill="1" applyBorder="1" applyAlignment="1">
      <alignment horizontal="center" vertical="center"/>
    </xf>
    <xf numFmtId="44" fontId="41" fillId="26" borderId="5" xfId="1" applyFont="1" applyFill="1" applyBorder="1" applyAlignment="1" applyProtection="1">
      <alignment horizontal="center" vertical="center"/>
    </xf>
    <xf numFmtId="0" fontId="41" fillId="11" borderId="6" xfId="0" applyFont="1" applyFill="1" applyBorder="1" applyAlignment="1">
      <alignment horizontal="left" vertical="center" wrapText="1"/>
    </xf>
    <xf numFmtId="0" fontId="41" fillId="11" borderId="8" xfId="0" applyFont="1" applyFill="1" applyBorder="1" applyAlignment="1">
      <alignment horizontal="left" vertical="center" wrapText="1"/>
    </xf>
    <xf numFmtId="0" fontId="41" fillId="11" borderId="31" xfId="0" applyFont="1" applyFill="1" applyBorder="1" applyAlignment="1">
      <alignment horizontal="left" vertical="center" wrapText="1"/>
    </xf>
    <xf numFmtId="0" fontId="41" fillId="11" borderId="33" xfId="0" applyFont="1" applyFill="1" applyBorder="1" applyAlignment="1">
      <alignment horizontal="left" vertical="center" wrapText="1"/>
    </xf>
    <xf numFmtId="0" fontId="41" fillId="11" borderId="30" xfId="0" applyFont="1" applyFill="1" applyBorder="1" applyAlignment="1">
      <alignment horizontal="center" vertical="center" wrapText="1"/>
    </xf>
    <xf numFmtId="0" fontId="41" fillId="26" borderId="48" xfId="0" applyFont="1" applyFill="1" applyBorder="1" applyAlignment="1">
      <alignment horizontal="center" vertical="center"/>
    </xf>
    <xf numFmtId="0" fontId="41" fillId="11" borderId="48" xfId="0" applyFont="1" applyFill="1" applyBorder="1" applyAlignment="1">
      <alignment horizontal="center" vertical="center"/>
    </xf>
    <xf numFmtId="0" fontId="41" fillId="11" borderId="45" xfId="0" applyFont="1" applyFill="1" applyBorder="1" applyAlignment="1">
      <alignment horizontal="left" vertical="center" wrapText="1"/>
    </xf>
    <xf numFmtId="0" fontId="41" fillId="11" borderId="46" xfId="0" applyFont="1" applyFill="1" applyBorder="1" applyAlignment="1">
      <alignment horizontal="left" vertical="center" wrapText="1"/>
    </xf>
    <xf numFmtId="0" fontId="41" fillId="11" borderId="35" xfId="0" applyFont="1" applyFill="1" applyBorder="1" applyAlignment="1">
      <alignment horizontal="center" vertical="center" wrapText="1"/>
    </xf>
    <xf numFmtId="0" fontId="41" fillId="26" borderId="35" xfId="0" applyFont="1" applyFill="1" applyBorder="1" applyAlignment="1">
      <alignment horizontal="center" vertical="center"/>
    </xf>
    <xf numFmtId="0" fontId="41" fillId="11" borderId="30" xfId="0" applyFont="1" applyFill="1" applyBorder="1" applyAlignment="1">
      <alignment horizontal="center" vertical="center"/>
    </xf>
    <xf numFmtId="44" fontId="39" fillId="11" borderId="5" xfId="0" applyNumberFormat="1" applyFont="1" applyFill="1" applyBorder="1" applyAlignment="1">
      <alignment horizontal="center" vertical="center"/>
    </xf>
    <xf numFmtId="0" fontId="41" fillId="11" borderId="0" xfId="0" applyFont="1" applyFill="1" applyAlignment="1">
      <alignment horizontal="center" vertical="center"/>
    </xf>
    <xf numFmtId="10" fontId="39" fillId="11" borderId="30" xfId="3" applyNumberFormat="1" applyFont="1" applyFill="1" applyBorder="1" applyAlignment="1" applyProtection="1">
      <alignment horizontal="center" vertical="center"/>
    </xf>
    <xf numFmtId="44" fontId="41" fillId="11" borderId="5" xfId="0" applyNumberFormat="1" applyFont="1" applyFill="1" applyBorder="1" applyAlignment="1">
      <alignment horizontal="center" vertical="center"/>
    </xf>
    <xf numFmtId="10" fontId="39" fillId="11" borderId="6" xfId="3" applyNumberFormat="1" applyFont="1" applyFill="1" applyBorder="1" applyAlignment="1" applyProtection="1">
      <alignment horizontal="center" vertical="center"/>
    </xf>
    <xf numFmtId="0" fontId="41" fillId="11" borderId="38" xfId="0" applyFont="1" applyFill="1" applyBorder="1" applyAlignment="1">
      <alignment horizontal="center" vertical="center"/>
    </xf>
    <xf numFmtId="44" fontId="39" fillId="11" borderId="18" xfId="0" applyNumberFormat="1" applyFont="1" applyFill="1" applyBorder="1" applyAlignment="1">
      <alignment horizontal="center" vertical="center"/>
    </xf>
    <xf numFmtId="0" fontId="41" fillId="11" borderId="19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26" borderId="0" xfId="0" applyFont="1" applyFill="1" applyAlignment="1">
      <alignment horizontal="left" vertical="center" wrapText="1"/>
    </xf>
    <xf numFmtId="0" fontId="41" fillId="11" borderId="0" xfId="0" applyFont="1" applyFill="1" applyAlignment="1">
      <alignment horizontal="center" vertical="center" wrapText="1"/>
    </xf>
    <xf numFmtId="44" fontId="40" fillId="10" borderId="0" xfId="1" applyFont="1" applyFill="1" applyBorder="1" applyAlignment="1" applyProtection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39" fillId="0" borderId="36" xfId="0" applyFont="1" applyBorder="1" applyAlignment="1">
      <alignment vertical="center"/>
    </xf>
    <xf numFmtId="0" fontId="39" fillId="25" borderId="17" xfId="0" applyFont="1" applyFill="1" applyBorder="1" applyAlignment="1">
      <alignment horizontal="center" vertical="center"/>
    </xf>
    <xf numFmtId="0" fontId="41" fillId="26" borderId="5" xfId="0" applyFont="1" applyFill="1" applyBorder="1" applyAlignment="1">
      <alignment horizontal="left" vertical="center" wrapText="1"/>
    </xf>
    <xf numFmtId="0" fontId="41" fillId="26" borderId="5" xfId="0" applyFont="1" applyFill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/>
    </xf>
    <xf numFmtId="0" fontId="41" fillId="26" borderId="48" xfId="0" applyFont="1" applyFill="1" applyBorder="1" applyAlignment="1">
      <alignment horizontal="left" vertical="center" wrapText="1"/>
    </xf>
    <xf numFmtId="0" fontId="41" fillId="26" borderId="48" xfId="0" applyFont="1" applyFill="1" applyBorder="1" applyAlignment="1">
      <alignment horizontal="center" vertical="center" wrapText="1"/>
    </xf>
    <xf numFmtId="44" fontId="40" fillId="7" borderId="47" xfId="1" applyFont="1" applyFill="1" applyBorder="1" applyAlignment="1" applyProtection="1">
      <alignment horizontal="center" vertical="center"/>
      <protection locked="0"/>
    </xf>
    <xf numFmtId="0" fontId="41" fillId="0" borderId="49" xfId="0" applyFont="1" applyBorder="1" applyAlignment="1">
      <alignment horizontal="center" vertical="center"/>
    </xf>
    <xf numFmtId="0" fontId="41" fillId="11" borderId="0" xfId="0" applyFont="1" applyFill="1" applyAlignment="1">
      <alignment horizontal="left" vertical="center" wrapText="1"/>
    </xf>
    <xf numFmtId="0" fontId="41" fillId="11" borderId="0" xfId="0" applyFont="1" applyFill="1" applyAlignment="1">
      <alignment vertical="center" wrapText="1"/>
    </xf>
    <xf numFmtId="171" fontId="41" fillId="11" borderId="0" xfId="0" applyNumberFormat="1" applyFont="1" applyFill="1" applyAlignment="1">
      <alignment horizontal="right" vertical="center"/>
    </xf>
    <xf numFmtId="0" fontId="38" fillId="0" borderId="0" xfId="0" applyFont="1" applyAlignment="1">
      <alignment horizontal="center"/>
    </xf>
    <xf numFmtId="0" fontId="31" fillId="23" borderId="48" xfId="0" applyFont="1" applyFill="1" applyBorder="1" applyAlignment="1">
      <alignment horizontal="center" vertical="center" wrapText="1"/>
    </xf>
    <xf numFmtId="0" fontId="33" fillId="11" borderId="48" xfId="0" applyFont="1" applyFill="1" applyBorder="1" applyAlignment="1">
      <alignment horizontal="center" vertical="center" wrapText="1"/>
    </xf>
    <xf numFmtId="0" fontId="33" fillId="22" borderId="48" xfId="0" applyFont="1" applyFill="1" applyBorder="1" applyAlignment="1">
      <alignment horizontal="center" vertical="center" wrapText="1"/>
    </xf>
    <xf numFmtId="172" fontId="31" fillId="23" borderId="5" xfId="0" applyNumberFormat="1" applyFont="1" applyFill="1" applyBorder="1" applyAlignment="1">
      <alignment horizontal="center" vertical="center" wrapText="1"/>
    </xf>
    <xf numFmtId="172" fontId="33" fillId="11" borderId="5" xfId="1" applyNumberFormat="1" applyFont="1" applyFill="1" applyBorder="1" applyAlignment="1" applyProtection="1">
      <alignment horizontal="center" vertical="center" wrapText="1"/>
    </xf>
    <xf numFmtId="172" fontId="31" fillId="23" borderId="48" xfId="0" applyNumberFormat="1" applyFont="1" applyFill="1" applyBorder="1" applyAlignment="1">
      <alignment horizontal="center" vertical="center" wrapText="1"/>
    </xf>
    <xf numFmtId="172" fontId="33" fillId="11" borderId="48" xfId="1" applyNumberFormat="1" applyFont="1" applyFill="1" applyBorder="1" applyAlignment="1" applyProtection="1">
      <alignment horizontal="center" vertical="center" wrapText="1"/>
    </xf>
    <xf numFmtId="172" fontId="0" fillId="23" borderId="30" xfId="0" applyNumberFormat="1" applyFill="1" applyBorder="1" applyAlignment="1">
      <alignment horizontal="center" vertical="center"/>
    </xf>
    <xf numFmtId="172" fontId="0" fillId="23" borderId="48" xfId="0" applyNumberFormat="1" applyFill="1" applyBorder="1" applyAlignment="1">
      <alignment horizontal="center" vertical="center"/>
    </xf>
    <xf numFmtId="172" fontId="38" fillId="0" borderId="0" xfId="0" applyNumberFormat="1" applyFon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2" fontId="38" fillId="31" borderId="4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67" fontId="7" fillId="0" borderId="0" xfId="0" applyNumberFormat="1" applyFont="1" applyAlignment="1">
      <alignment vertical="center"/>
    </xf>
    <xf numFmtId="0" fontId="6" fillId="2" borderId="0" xfId="0" applyFont="1" applyFill="1" applyAlignment="1">
      <alignment vertical="center"/>
    </xf>
    <xf numFmtId="0" fontId="7" fillId="11" borderId="0" xfId="0" applyFont="1" applyFill="1" applyAlignment="1">
      <alignment vertical="center"/>
    </xf>
    <xf numFmtId="164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6" fillId="11" borderId="0" xfId="0" applyFont="1" applyFill="1" applyAlignment="1">
      <alignment vertical="center"/>
    </xf>
    <xf numFmtId="4" fontId="7" fillId="0" borderId="0" xfId="0" applyNumberFormat="1" applyFont="1" applyAlignment="1">
      <alignment vertical="center"/>
    </xf>
    <xf numFmtId="10" fontId="13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5" fillId="33" borderId="5" xfId="0" applyFont="1" applyFill="1" applyBorder="1" applyAlignment="1">
      <alignment horizontal="center"/>
    </xf>
    <xf numFmtId="0" fontId="41" fillId="11" borderId="53" xfId="0" applyFont="1" applyFill="1" applyBorder="1" applyAlignment="1">
      <alignment horizontal="left" vertical="center" wrapText="1"/>
    </xf>
    <xf numFmtId="0" fontId="41" fillId="11" borderId="54" xfId="0" applyFont="1" applyFill="1" applyBorder="1" applyAlignment="1">
      <alignment horizontal="left" vertical="center" wrapText="1"/>
    </xf>
    <xf numFmtId="0" fontId="41" fillId="11" borderId="57" xfId="0" applyFont="1" applyFill="1" applyBorder="1" applyAlignment="1">
      <alignment horizontal="center" vertical="center" wrapText="1"/>
    </xf>
    <xf numFmtId="0" fontId="41" fillId="26" borderId="57" xfId="0" applyFont="1" applyFill="1" applyBorder="1" applyAlignment="1">
      <alignment horizontal="center" vertical="center"/>
    </xf>
    <xf numFmtId="44" fontId="41" fillId="26" borderId="48" xfId="1" applyFont="1" applyFill="1" applyBorder="1" applyAlignment="1" applyProtection="1">
      <alignment horizontal="center" vertical="center"/>
    </xf>
    <xf numFmtId="0" fontId="15" fillId="11" borderId="48" xfId="0" applyFont="1" applyFill="1" applyBorder="1" applyAlignment="1" applyProtection="1">
      <alignment horizontal="center" vertical="center"/>
    </xf>
    <xf numFmtId="0" fontId="15" fillId="26" borderId="48" xfId="0" applyFont="1" applyFill="1" applyBorder="1" applyAlignment="1" applyProtection="1">
      <alignment horizontal="center" vertical="center"/>
    </xf>
    <xf numFmtId="44" fontId="40" fillId="7" borderId="48" xfId="1" applyFont="1" applyFill="1" applyBorder="1" applyAlignment="1" applyProtection="1">
      <alignment horizontal="center" vertical="center"/>
      <protection locked="0"/>
    </xf>
    <xf numFmtId="0" fontId="38" fillId="31" borderId="48" xfId="0" applyFont="1" applyFill="1" applyBorder="1" applyAlignment="1">
      <alignment horizontal="center"/>
    </xf>
    <xf numFmtId="0" fontId="38" fillId="23" borderId="53" xfId="0" applyFont="1" applyFill="1" applyBorder="1" applyAlignment="1">
      <alignment horizontal="center" vertical="center" wrapText="1"/>
    </xf>
    <xf numFmtId="0" fontId="38" fillId="23" borderId="52" xfId="0" applyFont="1" applyFill="1" applyBorder="1" applyAlignment="1">
      <alignment horizontal="center" vertical="center"/>
    </xf>
    <xf numFmtId="0" fontId="38" fillId="23" borderId="54" xfId="0" applyFont="1" applyFill="1" applyBorder="1" applyAlignment="1">
      <alignment horizontal="center" vertical="center"/>
    </xf>
    <xf numFmtId="0" fontId="38" fillId="23" borderId="55" xfId="0" applyFont="1" applyFill="1" applyBorder="1" applyAlignment="1">
      <alignment horizontal="center" vertical="center"/>
    </xf>
    <xf numFmtId="0" fontId="38" fillId="23" borderId="34" xfId="0" applyFont="1" applyFill="1" applyBorder="1" applyAlignment="1">
      <alignment horizontal="center" vertical="center"/>
    </xf>
    <xf numFmtId="0" fontId="38" fillId="23" borderId="56" xfId="0" applyFont="1" applyFill="1" applyBorder="1" applyAlignment="1">
      <alignment horizontal="center" vertical="center"/>
    </xf>
    <xf numFmtId="0" fontId="31" fillId="23" borderId="5" xfId="0" applyFont="1" applyFill="1" applyBorder="1" applyAlignment="1">
      <alignment horizontal="center" vertical="center" wrapText="1"/>
    </xf>
    <xf numFmtId="172" fontId="33" fillId="11" borderId="5" xfId="1" applyNumberFormat="1" applyFont="1" applyFill="1" applyBorder="1" applyAlignment="1" applyProtection="1">
      <alignment horizontal="center" vertical="center" wrapText="1"/>
    </xf>
    <xf numFmtId="0" fontId="38" fillId="23" borderId="30" xfId="0" applyFont="1" applyFill="1" applyBorder="1" applyAlignment="1">
      <alignment horizontal="center"/>
    </xf>
    <xf numFmtId="0" fontId="31" fillId="23" borderId="48" xfId="0" applyFont="1" applyFill="1" applyBorder="1" applyAlignment="1">
      <alignment horizontal="center" vertical="center" wrapText="1"/>
    </xf>
    <xf numFmtId="172" fontId="33" fillId="11" borderId="48" xfId="1" applyNumberFormat="1" applyFont="1" applyFill="1" applyBorder="1" applyAlignment="1" applyProtection="1">
      <alignment horizontal="center" vertical="center" wrapText="1"/>
    </xf>
    <xf numFmtId="0" fontId="38" fillId="23" borderId="48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 vertical="center"/>
    </xf>
    <xf numFmtId="14" fontId="8" fillId="7" borderId="5" xfId="0" applyNumberFormat="1" applyFont="1" applyFill="1" applyBorder="1" applyAlignment="1" applyProtection="1">
      <alignment horizontal="center" vertical="center"/>
      <protection locked="0"/>
    </xf>
    <xf numFmtId="0" fontId="8" fillId="6" borderId="5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6" borderId="5" xfId="0" applyFont="1" applyFill="1" applyBorder="1" applyAlignment="1">
      <alignment horizontal="justify" vertical="center" wrapText="1"/>
    </xf>
    <xf numFmtId="14" fontId="8" fillId="32" borderId="5" xfId="0" applyNumberFormat="1" applyFont="1" applyFill="1" applyBorder="1" applyAlignment="1" applyProtection="1">
      <alignment horizontal="left" vertical="center"/>
      <protection locked="0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9" fillId="9" borderId="5" xfId="0" applyFont="1" applyFill="1" applyBorder="1" applyAlignment="1">
      <alignment horizontal="center" vertical="center"/>
    </xf>
    <xf numFmtId="165" fontId="13" fillId="11" borderId="0" xfId="0" applyNumberFormat="1" applyFont="1" applyFill="1" applyAlignment="1">
      <alignment horizontal="left" vertical="center"/>
    </xf>
    <xf numFmtId="166" fontId="8" fillId="10" borderId="5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66" fontId="10" fillId="0" borderId="5" xfId="1" applyNumberFormat="1" applyFont="1" applyFill="1" applyBorder="1" applyAlignment="1" applyProtection="1">
      <alignment horizontal="center" vertical="center"/>
    </xf>
    <xf numFmtId="0" fontId="8" fillId="7" borderId="5" xfId="0" applyFont="1" applyFill="1" applyBorder="1" applyAlignment="1" applyProtection="1">
      <alignment vertical="center"/>
      <protection locked="0"/>
    </xf>
    <xf numFmtId="0" fontId="10" fillId="0" borderId="5" xfId="0" applyFont="1" applyBorder="1" applyAlignment="1">
      <alignment horizontal="center" vertical="center" wrapText="1"/>
    </xf>
    <xf numFmtId="10" fontId="8" fillId="10" borderId="5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9" fillId="24" borderId="5" xfId="0" applyFont="1" applyFill="1" applyBorder="1" applyAlignment="1">
      <alignment horizontal="center" vertical="center"/>
    </xf>
    <xf numFmtId="10" fontId="9" fillId="24" borderId="5" xfId="0" applyNumberFormat="1" applyFont="1" applyFill="1" applyBorder="1" applyAlignment="1">
      <alignment horizontal="center" vertical="center"/>
    </xf>
    <xf numFmtId="0" fontId="9" fillId="12" borderId="5" xfId="0" applyFont="1" applyFill="1" applyBorder="1" applyAlignment="1">
      <alignment horizontal="center" vertical="center"/>
    </xf>
    <xf numFmtId="10" fontId="8" fillId="7" borderId="5" xfId="0" applyNumberFormat="1" applyFont="1" applyFill="1" applyBorder="1" applyAlignment="1" applyProtection="1">
      <alignment horizontal="center" vertical="center"/>
      <protection locked="0"/>
    </xf>
    <xf numFmtId="0" fontId="15" fillId="24" borderId="5" xfId="0" applyFont="1" applyFill="1" applyBorder="1" applyAlignment="1">
      <alignment horizontal="center" vertical="center"/>
    </xf>
    <xf numFmtId="0" fontId="8" fillId="24" borderId="5" xfId="0" applyFont="1" applyFill="1" applyBorder="1" applyAlignment="1">
      <alignment horizontal="center" vertical="center"/>
    </xf>
    <xf numFmtId="0" fontId="17" fillId="11" borderId="12" xfId="0" applyFont="1" applyFill="1" applyBorder="1" applyAlignment="1">
      <alignment vertical="center" wrapText="1"/>
    </xf>
    <xf numFmtId="0" fontId="17" fillId="11" borderId="13" xfId="0" applyFont="1" applyFill="1" applyBorder="1" applyAlignment="1">
      <alignment vertical="center" wrapText="1"/>
    </xf>
    <xf numFmtId="0" fontId="17" fillId="11" borderId="14" xfId="0" applyFont="1" applyFill="1" applyBorder="1" applyAlignment="1">
      <alignment vertical="center" wrapText="1"/>
    </xf>
    <xf numFmtId="0" fontId="17" fillId="11" borderId="9" xfId="0" applyFont="1" applyFill="1" applyBorder="1" applyAlignment="1">
      <alignment vertical="center" wrapText="1"/>
    </xf>
    <xf numFmtId="0" fontId="17" fillId="11" borderId="10" xfId="0" applyFont="1" applyFill="1" applyBorder="1" applyAlignment="1">
      <alignment vertical="center" wrapText="1"/>
    </xf>
    <xf numFmtId="0" fontId="17" fillId="11" borderId="11" xfId="0" applyFont="1" applyFill="1" applyBorder="1" applyAlignment="1">
      <alignment vertical="center" wrapText="1"/>
    </xf>
    <xf numFmtId="0" fontId="9" fillId="14" borderId="5" xfId="0" applyFont="1" applyFill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0" fontId="16" fillId="11" borderId="12" xfId="0" applyFont="1" applyFill="1" applyBorder="1" applyAlignment="1">
      <alignment horizontal="left" vertical="center" wrapText="1"/>
    </xf>
    <xf numFmtId="0" fontId="16" fillId="11" borderId="13" xfId="0" applyFont="1" applyFill="1" applyBorder="1" applyAlignment="1">
      <alignment horizontal="left" vertical="center" wrapText="1"/>
    </xf>
    <xf numFmtId="0" fontId="16" fillId="11" borderId="14" xfId="0" applyFont="1" applyFill="1" applyBorder="1" applyAlignment="1">
      <alignment horizontal="left" vertical="center" wrapText="1"/>
    </xf>
    <xf numFmtId="0" fontId="16" fillId="11" borderId="9" xfId="0" applyFont="1" applyFill="1" applyBorder="1" applyAlignment="1">
      <alignment horizontal="left" vertical="center" wrapText="1"/>
    </xf>
    <xf numFmtId="0" fontId="16" fillId="11" borderId="10" xfId="0" applyFont="1" applyFill="1" applyBorder="1" applyAlignment="1">
      <alignment horizontal="left" vertical="center" wrapText="1"/>
    </xf>
    <xf numFmtId="0" fontId="16" fillId="11" borderId="11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/>
    </xf>
    <xf numFmtId="164" fontId="8" fillId="10" borderId="5" xfId="0" applyNumberFormat="1" applyFont="1" applyFill="1" applyBorder="1" applyAlignment="1">
      <alignment horizontal="center" vertical="center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9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3" fillId="16" borderId="1" xfId="0" applyNumberFormat="1" applyFont="1" applyFill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44" fontId="8" fillId="7" borderId="5" xfId="1" applyFont="1" applyFill="1" applyBorder="1" applyAlignment="1" applyProtection="1">
      <alignment horizontal="center" vertical="center"/>
      <protection locked="0"/>
    </xf>
    <xf numFmtId="1" fontId="18" fillId="7" borderId="22" xfId="0" applyNumberFormat="1" applyFont="1" applyFill="1" applyBorder="1" applyAlignment="1" applyProtection="1">
      <alignment horizontal="center" vertical="center"/>
      <protection locked="0"/>
    </xf>
    <xf numFmtId="1" fontId="18" fillId="7" borderId="23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>
      <alignment horizontal="center" vertical="center"/>
    </xf>
    <xf numFmtId="166" fontId="23" fillId="20" borderId="1" xfId="0" applyNumberFormat="1" applyFont="1" applyFill="1" applyBorder="1" applyAlignment="1" applyProtection="1">
      <alignment horizontal="center" vertical="center"/>
      <protection locked="0"/>
    </xf>
    <xf numFmtId="166" fontId="3" fillId="20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27" xfId="0" applyNumberFormat="1" applyFont="1" applyBorder="1" applyAlignment="1">
      <alignment horizontal="center" vertical="center"/>
    </xf>
    <xf numFmtId="164" fontId="3" fillId="0" borderId="28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23" fillId="20" borderId="1" xfId="0" applyNumberFormat="1" applyFont="1" applyFill="1" applyBorder="1" applyAlignment="1" applyProtection="1">
      <alignment horizontal="center" vertical="center"/>
      <protection locked="0"/>
    </xf>
    <xf numFmtId="164" fontId="3" fillId="20" borderId="1" xfId="0" applyNumberFormat="1" applyFont="1" applyFill="1" applyBorder="1" applyAlignment="1" applyProtection="1">
      <alignment horizontal="center" vertical="center"/>
      <protection locked="0"/>
    </xf>
    <xf numFmtId="0" fontId="30" fillId="0" borderId="5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8" fontId="3" fillId="20" borderId="1" xfId="0" applyNumberFormat="1" applyFont="1" applyFill="1" applyBorder="1" applyAlignment="1" applyProtection="1">
      <alignment horizontal="center" vertical="center"/>
      <protection locked="0"/>
    </xf>
    <xf numFmtId="164" fontId="8" fillId="7" borderId="5" xfId="0" applyNumberFormat="1" applyFont="1" applyFill="1" applyBorder="1" applyAlignment="1" applyProtection="1">
      <alignment horizontal="center" vertical="center"/>
      <protection locked="0"/>
    </xf>
    <xf numFmtId="0" fontId="15" fillId="16" borderId="5" xfId="0" applyFont="1" applyFill="1" applyBorder="1" applyAlignment="1">
      <alignment horizontal="center" vertical="center"/>
    </xf>
    <xf numFmtId="10" fontId="8" fillId="0" borderId="5" xfId="0" applyNumberFormat="1" applyFont="1" applyBorder="1" applyAlignment="1">
      <alignment horizontal="center" vertical="center"/>
    </xf>
    <xf numFmtId="0" fontId="9" fillId="19" borderId="5" xfId="0" applyFont="1" applyFill="1" applyBorder="1" applyAlignment="1">
      <alignment horizontal="center" vertical="center"/>
    </xf>
    <xf numFmtId="0" fontId="9" fillId="15" borderId="5" xfId="0" applyFont="1" applyFill="1" applyBorder="1" applyAlignment="1">
      <alignment horizontal="center" vertical="center"/>
    </xf>
    <xf numFmtId="0" fontId="9" fillId="18" borderId="5" xfId="0" applyFont="1" applyFill="1" applyBorder="1" applyAlignment="1">
      <alignment horizontal="center" vertical="center"/>
    </xf>
    <xf numFmtId="0" fontId="15" fillId="16" borderId="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1" fontId="8" fillId="7" borderId="5" xfId="0" applyNumberFormat="1" applyFont="1" applyFill="1" applyBorder="1" applyAlignment="1" applyProtection="1">
      <alignment horizontal="center" vertical="center"/>
      <protection locked="0"/>
    </xf>
    <xf numFmtId="0" fontId="9" fillId="16" borderId="5" xfId="0" applyFont="1" applyFill="1" applyBorder="1" applyAlignment="1">
      <alignment horizontal="center" vertical="center"/>
    </xf>
    <xf numFmtId="0" fontId="9" fillId="17" borderId="5" xfId="0" applyFont="1" applyFill="1" applyBorder="1" applyAlignment="1">
      <alignment horizontal="center" vertical="center"/>
    </xf>
    <xf numFmtId="0" fontId="9" fillId="21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11" borderId="12" xfId="0" applyFont="1" applyFill="1" applyBorder="1" applyAlignment="1">
      <alignment horizontal="left" vertical="center" wrapText="1"/>
    </xf>
    <xf numFmtId="0" fontId="4" fillId="11" borderId="13" xfId="0" applyFont="1" applyFill="1" applyBorder="1" applyAlignment="1">
      <alignment horizontal="left" vertical="center" wrapText="1"/>
    </xf>
    <xf numFmtId="0" fontId="4" fillId="11" borderId="14" xfId="0" applyFont="1" applyFill="1" applyBorder="1" applyAlignment="1">
      <alignment horizontal="left" vertical="center" wrapText="1"/>
    </xf>
    <xf numFmtId="0" fontId="4" fillId="11" borderId="9" xfId="0" applyFont="1" applyFill="1" applyBorder="1" applyAlignment="1">
      <alignment horizontal="left" vertical="center" wrapText="1"/>
    </xf>
    <xf numFmtId="0" fontId="4" fillId="11" borderId="10" xfId="0" applyFont="1" applyFill="1" applyBorder="1" applyAlignment="1">
      <alignment horizontal="left" vertical="center" wrapText="1"/>
    </xf>
    <xf numFmtId="0" fontId="4" fillId="11" borderId="11" xfId="0" applyFont="1" applyFill="1" applyBorder="1" applyAlignment="1">
      <alignment horizontal="left" vertical="center" wrapText="1"/>
    </xf>
    <xf numFmtId="10" fontId="9" fillId="0" borderId="5" xfId="0" applyNumberFormat="1" applyFont="1" applyBorder="1" applyAlignment="1">
      <alignment horizontal="center" vertical="center"/>
    </xf>
    <xf numFmtId="10" fontId="8" fillId="14" borderId="5" xfId="0" applyNumberFormat="1" applyFont="1" applyFill="1" applyBorder="1" applyAlignment="1">
      <alignment horizontal="center" vertical="center"/>
    </xf>
    <xf numFmtId="10" fontId="4" fillId="9" borderId="5" xfId="0" applyNumberFormat="1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0" fillId="22" borderId="5" xfId="0" applyFont="1" applyFill="1" applyBorder="1" applyAlignment="1">
      <alignment horizontal="center" vertical="center"/>
    </xf>
    <xf numFmtId="0" fontId="26" fillId="27" borderId="1" xfId="0" applyFont="1" applyFill="1" applyBorder="1" applyAlignment="1">
      <alignment horizontal="center" vertical="center" wrapText="1"/>
    </xf>
    <xf numFmtId="0" fontId="9" fillId="28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34" fillId="22" borderId="5" xfId="0" applyFont="1" applyFill="1" applyBorder="1" applyAlignment="1">
      <alignment horizontal="center"/>
    </xf>
    <xf numFmtId="0" fontId="9" fillId="27" borderId="1" xfId="0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39" fillId="30" borderId="31" xfId="0" applyFont="1" applyFill="1" applyBorder="1" applyAlignment="1">
      <alignment horizontal="center" vertical="center" wrapText="1"/>
    </xf>
    <xf numFmtId="0" fontId="39" fillId="30" borderId="33" xfId="0" applyFont="1" applyFill="1" applyBorder="1" applyAlignment="1">
      <alignment horizontal="center" vertical="center" wrapText="1"/>
    </xf>
    <xf numFmtId="0" fontId="39" fillId="30" borderId="30" xfId="0" applyFont="1" applyFill="1" applyBorder="1" applyAlignment="1">
      <alignment horizontal="center" vertical="center" wrapText="1"/>
    </xf>
    <xf numFmtId="0" fontId="39" fillId="25" borderId="31" xfId="0" applyFont="1" applyFill="1" applyBorder="1" applyAlignment="1">
      <alignment horizontal="center" vertical="center"/>
    </xf>
    <xf numFmtId="0" fontId="39" fillId="25" borderId="32" xfId="0" applyFont="1" applyFill="1" applyBorder="1" applyAlignment="1">
      <alignment horizontal="center" vertical="center"/>
    </xf>
    <xf numFmtId="0" fontId="39" fillId="25" borderId="33" xfId="0" applyFont="1" applyFill="1" applyBorder="1" applyAlignment="1">
      <alignment horizontal="center" vertical="center"/>
    </xf>
    <xf numFmtId="0" fontId="41" fillId="11" borderId="50" xfId="0" applyFont="1" applyFill="1" applyBorder="1" applyAlignment="1">
      <alignment horizontal="left" vertical="center" wrapText="1"/>
    </xf>
    <xf numFmtId="0" fontId="41" fillId="11" borderId="51" xfId="0" applyFont="1" applyFill="1" applyBorder="1" applyAlignment="1">
      <alignment horizontal="left" vertical="center" wrapText="1"/>
    </xf>
    <xf numFmtId="0" fontId="41" fillId="11" borderId="39" xfId="0" applyFont="1" applyFill="1" applyBorder="1" applyAlignment="1">
      <alignment horizontal="left" vertical="center" wrapText="1"/>
    </xf>
    <xf numFmtId="0" fontId="41" fillId="11" borderId="40" xfId="0" applyFont="1" applyFill="1" applyBorder="1" applyAlignment="1">
      <alignment horizontal="left" vertical="center" wrapText="1"/>
    </xf>
    <xf numFmtId="0" fontId="41" fillId="11" borderId="6" xfId="0" applyFont="1" applyFill="1" applyBorder="1" applyAlignment="1">
      <alignment horizontal="left" vertical="center" wrapText="1"/>
    </xf>
    <xf numFmtId="0" fontId="41" fillId="11" borderId="8" xfId="0" applyFont="1" applyFill="1" applyBorder="1" applyAlignment="1">
      <alignment horizontal="left" vertical="center" wrapText="1"/>
    </xf>
    <xf numFmtId="0" fontId="39" fillId="25" borderId="5" xfId="0" applyFont="1" applyFill="1" applyBorder="1" applyAlignment="1">
      <alignment horizontal="center" vertical="center" wrapText="1"/>
    </xf>
    <xf numFmtId="0" fontId="42" fillId="22" borderId="31" xfId="0" applyFont="1" applyFill="1" applyBorder="1" applyAlignment="1">
      <alignment horizontal="center" vertical="center"/>
    </xf>
    <xf numFmtId="0" fontId="42" fillId="22" borderId="32" xfId="0" applyFont="1" applyFill="1" applyBorder="1" applyAlignment="1">
      <alignment horizontal="center" vertical="center"/>
    </xf>
    <xf numFmtId="0" fontId="42" fillId="22" borderId="33" xfId="0" applyFont="1" applyFill="1" applyBorder="1" applyAlignment="1">
      <alignment horizontal="center" vertical="center"/>
    </xf>
    <xf numFmtId="0" fontId="39" fillId="23" borderId="37" xfId="0" applyFont="1" applyFill="1" applyBorder="1" applyAlignment="1">
      <alignment horizontal="center" vertical="center"/>
    </xf>
    <xf numFmtId="0" fontId="39" fillId="23" borderId="32" xfId="0" applyFont="1" applyFill="1" applyBorder="1" applyAlignment="1">
      <alignment horizontal="center" vertical="center"/>
    </xf>
    <xf numFmtId="0" fontId="39" fillId="23" borderId="33" xfId="0" applyFont="1" applyFill="1" applyBorder="1" applyAlignment="1">
      <alignment horizontal="center" vertical="center"/>
    </xf>
    <xf numFmtId="0" fontId="39" fillId="23" borderId="41" xfId="0" applyFont="1" applyFill="1" applyBorder="1" applyAlignment="1">
      <alignment horizontal="center" vertical="center"/>
    </xf>
    <xf numFmtId="0" fontId="39" fillId="23" borderId="42" xfId="0" applyFont="1" applyFill="1" applyBorder="1" applyAlignment="1">
      <alignment horizontal="center" vertical="center"/>
    </xf>
    <xf numFmtId="0" fontId="39" fillId="23" borderId="43" xfId="0" applyFont="1" applyFill="1" applyBorder="1" applyAlignment="1">
      <alignment horizontal="center" vertical="center"/>
    </xf>
    <xf numFmtId="0" fontId="41" fillId="11" borderId="31" xfId="0" applyFont="1" applyFill="1" applyBorder="1" applyAlignment="1">
      <alignment horizontal="left" vertical="center" wrapText="1"/>
    </xf>
    <xf numFmtId="0" fontId="41" fillId="11" borderId="33" xfId="0" applyFont="1" applyFill="1" applyBorder="1" applyAlignment="1">
      <alignment horizontal="left" vertical="center" wrapText="1"/>
    </xf>
    <xf numFmtId="0" fontId="37" fillId="22" borderId="5" xfId="0" applyFont="1" applyFill="1" applyBorder="1" applyAlignment="1">
      <alignment horizontal="center"/>
    </xf>
    <xf numFmtId="0" fontId="36" fillId="29" borderId="5" xfId="0" applyFont="1" applyFill="1" applyBorder="1" applyAlignment="1">
      <alignment horizontal="center"/>
    </xf>
    <xf numFmtId="0" fontId="36" fillId="0" borderId="6" xfId="0" applyFont="1" applyBorder="1" applyAlignment="1">
      <alignment horizontal="center"/>
    </xf>
    <xf numFmtId="0" fontId="36" fillId="0" borderId="7" xfId="0" applyFont="1" applyBorder="1" applyAlignment="1">
      <alignment horizontal="center"/>
    </xf>
    <xf numFmtId="0" fontId="36" fillId="0" borderId="8" xfId="0" applyFont="1" applyBorder="1" applyAlignment="1">
      <alignment horizontal="center"/>
    </xf>
    <xf numFmtId="44" fontId="36" fillId="0" borderId="5" xfId="1" applyFont="1" applyBorder="1" applyAlignment="1" applyProtection="1">
      <alignment horizontal="center"/>
    </xf>
    <xf numFmtId="0" fontId="36" fillId="23" borderId="5" xfId="0" applyFont="1" applyFill="1" applyBorder="1" applyAlignment="1">
      <alignment horizontal="center"/>
    </xf>
  </cellXfs>
  <cellStyles count="4">
    <cellStyle name="Moeda" xfId="1" builtinId="4"/>
    <cellStyle name="Normal" xfId="0" builtinId="0"/>
    <cellStyle name="Porcentagem" xfId="3" builtinId="5"/>
    <cellStyle name="Texto Explicativo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citacoes%20e%20Contratacoes/Pregao%20Eletronico/2020/PA%202019-3214%20-%20Limpeza%20Sede%20e%20Subse&#231;&#245;es/Anexo%20IV%20-%20Planilhas%20de%20Custos%20e%20Forma&#231;&#227;o%20de%20Pre&#231;os%20-%20Ap&#243;s%20NA/Planilha%20materiais%20todas%20unidades%20corrig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 de Referencia"/>
      <sheetName val="Custo Total"/>
      <sheetName val="Sede"/>
      <sheetName val="Educacao"/>
      <sheetName val="Aracatuba"/>
      <sheetName val="Barretos"/>
      <sheetName val="Botucatu"/>
      <sheetName val="Campinas"/>
      <sheetName val="Guarulhos"/>
      <sheetName val="Itapetininga"/>
      <sheetName val="Marília"/>
      <sheetName val="Osasco"/>
      <sheetName val="Prudente"/>
      <sheetName val="Rib Preto"/>
      <sheetName val="Sto André"/>
      <sheetName val="Santos"/>
      <sheetName val="S J Campos"/>
      <sheetName val="S J Rio Preto"/>
      <sheetName val="Registro_Sorocaba"/>
      <sheetName val="Sto Amaro"/>
      <sheetName val="Plan1"/>
    </sheetNames>
    <sheetDataSet>
      <sheetData sheetId="0">
        <row r="11">
          <cell r="A11" t="str">
            <v>ESPECIFICAÇÃO</v>
          </cell>
          <cell r="B11">
            <v>0</v>
          </cell>
          <cell r="C11" t="str">
            <v>Unidade</v>
          </cell>
          <cell r="D11" t="str">
            <v>*Reposição  a cada quantos MESES?</v>
          </cell>
          <cell r="E11" t="str">
            <v>Preço unitário (1)</v>
          </cell>
          <cell r="F11" t="str">
            <v>Preço unitário (2)</v>
          </cell>
          <cell r="G11" t="str">
            <v>Preço unitário (3)</v>
          </cell>
          <cell r="H11" t="str">
            <v>Preço unitário (4)</v>
          </cell>
          <cell r="I11" t="str">
            <v>Preço unitário (5)</v>
          </cell>
          <cell r="J11" t="str">
            <v>Preço Unitário (6)</v>
          </cell>
          <cell r="K11" t="str">
            <v>Preço Unitário (7)</v>
          </cell>
          <cell r="L11" t="str">
            <v>Preço Unitário (8)</v>
          </cell>
          <cell r="M11" t="str">
            <v>Preço Unitário (9)</v>
          </cell>
          <cell r="N11" t="str">
            <v>Preço Unitário (10)</v>
          </cell>
          <cell r="O11" t="str">
            <v>Preço Unitário (11)</v>
          </cell>
          <cell r="P11" t="str">
            <v>Preço Unitário (12)</v>
          </cell>
          <cell r="Q11" t="str">
            <v>Preço Unitário (13)</v>
          </cell>
          <cell r="R11" t="str">
            <v>Preço Unitário (14)</v>
          </cell>
          <cell r="S11" t="str">
            <v>Preço Unitário (15)</v>
          </cell>
          <cell r="T11" t="str">
            <v>Preço Unitário (16)</v>
          </cell>
          <cell r="U11" t="str">
            <v>Preço Unitário (17)</v>
          </cell>
          <cell r="V11" t="str">
            <v>Preço Unitário (18)</v>
          </cell>
          <cell r="W11" t="str">
            <v>Preço Unitário (19)</v>
          </cell>
          <cell r="X11" t="str">
            <v>Preço Unitário (20)</v>
          </cell>
          <cell r="Y11" t="str">
            <v>Preço Unitário (21)</v>
          </cell>
          <cell r="Z11" t="str">
            <v>Preço Unitário (22)</v>
          </cell>
          <cell r="AA11" t="str">
            <v>Preço Unitário (23)</v>
          </cell>
          <cell r="AB11" t="str">
            <v>Preço Unitário (24)</v>
          </cell>
          <cell r="AC11" t="str">
            <v>Preço Unitário (25)</v>
          </cell>
          <cell r="AD11" t="str">
            <v>Preço Unitário (26)</v>
          </cell>
          <cell r="AE11" t="str">
            <v>Preço Unitário (27)</v>
          </cell>
          <cell r="AF11" t="str">
            <v>Preço Unitário (28)</v>
          </cell>
          <cell r="AG11" t="str">
            <v>Preço Unitário (29)</v>
          </cell>
          <cell r="AH11" t="str">
            <v>Preço Unitário (30)</v>
          </cell>
          <cell r="AI11" t="str">
            <v>Preço Unitário (31)</v>
          </cell>
          <cell r="AJ11" t="str">
            <v>Preço Unitário (32)</v>
          </cell>
          <cell r="AK11" t="str">
            <v>Preço Unitário (33)</v>
          </cell>
          <cell r="AL11" t="str">
            <v>Preço Unitário (34)</v>
          </cell>
          <cell r="AM11" t="str">
            <v>Preço Unitário (35)</v>
          </cell>
          <cell r="AN11" t="str">
            <v>Preço Unitário (36)</v>
          </cell>
          <cell r="AO11" t="str">
            <v>Preço Unitário (37)</v>
          </cell>
          <cell r="AP11" t="str">
            <v>Preço Unitário (38)</v>
          </cell>
          <cell r="AQ11" t="str">
            <v>Preço Unitário (39)</v>
          </cell>
          <cell r="AR11" t="str">
            <v>Preço mediano</v>
          </cell>
          <cell r="AS11" t="str">
            <v>Preço unitário (média simples)</v>
          </cell>
          <cell r="AT11" t="str">
            <v>Preço unitário médio (desconsiderando 30% de variação para +/- )</v>
          </cell>
        </row>
        <row r="12">
          <cell r="A12" t="str">
            <v>Aspirador de pó e água, Material: tanque em aço inox, Capacidade 20 litros, tensão alimentação 220 v, características adicionais: bocais, prolongador e filtro. Potência 1.400 w.</v>
          </cell>
          <cell r="B12">
            <v>0</v>
          </cell>
          <cell r="C12" t="str">
            <v>Unidade</v>
          </cell>
          <cell r="D12">
            <v>60</v>
          </cell>
          <cell r="E12">
            <v>0</v>
          </cell>
          <cell r="F12">
            <v>800</v>
          </cell>
          <cell r="G12">
            <v>200</v>
          </cell>
          <cell r="H12">
            <v>250</v>
          </cell>
          <cell r="I12">
            <v>170</v>
          </cell>
          <cell r="J12">
            <v>1239</v>
          </cell>
          <cell r="K12">
            <v>0</v>
          </cell>
          <cell r="L12">
            <v>150</v>
          </cell>
          <cell r="M12">
            <v>300</v>
          </cell>
          <cell r="N12">
            <v>170.91</v>
          </cell>
          <cell r="O12">
            <v>400</v>
          </cell>
          <cell r="P12">
            <v>300</v>
          </cell>
          <cell r="Q12">
            <v>467.15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300</v>
          </cell>
          <cell r="AS12">
            <v>404.27818181818179</v>
          </cell>
          <cell r="AT12">
            <v>283.33333333333331</v>
          </cell>
        </row>
        <row r="13">
          <cell r="A13" t="str">
            <v>Balde plástico de 10 litros</v>
          </cell>
          <cell r="B13">
            <v>0</v>
          </cell>
          <cell r="C13" t="str">
            <v>Unidade</v>
          </cell>
          <cell r="D13">
            <v>4</v>
          </cell>
          <cell r="E13">
            <v>7.55</v>
          </cell>
          <cell r="F13">
            <v>8.6</v>
          </cell>
          <cell r="G13">
            <v>14.27</v>
          </cell>
          <cell r="H13">
            <v>11.5</v>
          </cell>
          <cell r="I13">
            <v>0</v>
          </cell>
          <cell r="J13">
            <v>0</v>
          </cell>
          <cell r="K13">
            <v>4.8899999999999997</v>
          </cell>
          <cell r="L13">
            <v>3.5</v>
          </cell>
          <cell r="M13">
            <v>5</v>
          </cell>
          <cell r="N13">
            <v>12.63</v>
          </cell>
          <cell r="O13">
            <v>0</v>
          </cell>
          <cell r="P13">
            <v>3.66</v>
          </cell>
          <cell r="Q13">
            <v>7.55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7.55</v>
          </cell>
          <cell r="AS13">
            <v>7.9149999999999991</v>
          </cell>
          <cell r="AT13">
            <v>7.8999999999999995</v>
          </cell>
        </row>
        <row r="14">
          <cell r="A14" t="str">
            <v>Balde plástico de 5 litros</v>
          </cell>
          <cell r="B14">
            <v>0</v>
          </cell>
          <cell r="C14" t="str">
            <v>Unidade</v>
          </cell>
          <cell r="D14">
            <v>4</v>
          </cell>
          <cell r="E14">
            <v>8.5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8.5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6.41</v>
          </cell>
          <cell r="AR14">
            <v>8.5</v>
          </cell>
          <cell r="AS14">
            <v>7.8033333333333337</v>
          </cell>
          <cell r="AT14">
            <v>7.8033333333333337</v>
          </cell>
        </row>
        <row r="15">
          <cell r="A15" t="str">
            <v>Cone 75cm</v>
          </cell>
          <cell r="B15">
            <v>0</v>
          </cell>
          <cell r="C15" t="str">
            <v>Unidade</v>
          </cell>
          <cell r="D15">
            <v>60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37.47</v>
          </cell>
          <cell r="AR15">
            <v>37.47</v>
          </cell>
          <cell r="AS15">
            <v>37.47</v>
          </cell>
          <cell r="AT15">
            <v>37.47</v>
          </cell>
        </row>
        <row r="16">
          <cell r="A16" t="str">
            <v>Enceradeira industrial</v>
          </cell>
          <cell r="B16">
            <v>0</v>
          </cell>
          <cell r="C16" t="str">
            <v>Unidade</v>
          </cell>
          <cell r="D16">
            <v>60</v>
          </cell>
          <cell r="E16">
            <v>0</v>
          </cell>
          <cell r="F16">
            <v>0</v>
          </cell>
          <cell r="G16">
            <v>1219.8699999999999</v>
          </cell>
          <cell r="H16">
            <v>0</v>
          </cell>
          <cell r="I16">
            <v>0</v>
          </cell>
          <cell r="J16">
            <v>0</v>
          </cell>
          <cell r="K16">
            <v>1199</v>
          </cell>
          <cell r="L16">
            <v>750</v>
          </cell>
          <cell r="M16">
            <v>0</v>
          </cell>
          <cell r="N16">
            <v>1168</v>
          </cell>
          <cell r="O16">
            <v>1050</v>
          </cell>
          <cell r="P16">
            <v>0</v>
          </cell>
          <cell r="Q16">
            <v>970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1109</v>
          </cell>
          <cell r="AS16">
            <v>1059.4783333333332</v>
          </cell>
          <cell r="AT16">
            <v>1121.374</v>
          </cell>
        </row>
        <row r="17">
          <cell r="A17" t="str">
            <v>Escada de aço/alumínio 7 degraus</v>
          </cell>
          <cell r="B17">
            <v>0</v>
          </cell>
          <cell r="C17" t="str">
            <v>Unidade</v>
          </cell>
          <cell r="D17">
            <v>24</v>
          </cell>
          <cell r="E17">
            <v>0</v>
          </cell>
          <cell r="F17">
            <v>0</v>
          </cell>
          <cell r="G17">
            <v>331</v>
          </cell>
          <cell r="H17">
            <v>0</v>
          </cell>
          <cell r="I17">
            <v>0</v>
          </cell>
          <cell r="J17">
            <v>120</v>
          </cell>
          <cell r="K17">
            <v>150</v>
          </cell>
          <cell r="L17">
            <v>57.5</v>
          </cell>
          <cell r="M17">
            <v>0</v>
          </cell>
          <cell r="N17">
            <v>197.05</v>
          </cell>
          <cell r="O17">
            <v>180</v>
          </cell>
          <cell r="P17">
            <v>50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150</v>
          </cell>
          <cell r="AS17">
            <v>155.07857142857142</v>
          </cell>
          <cell r="AT17">
            <v>150</v>
          </cell>
        </row>
        <row r="18">
          <cell r="A18" t="str">
            <v>Escada alumínio, 3 degraus com banqueta</v>
          </cell>
          <cell r="B18">
            <v>0</v>
          </cell>
          <cell r="C18" t="str">
            <v>Unidade</v>
          </cell>
          <cell r="D18">
            <v>24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93.09</v>
          </cell>
          <cell r="AR18">
            <v>93.09</v>
          </cell>
          <cell r="AS18">
            <v>93.09</v>
          </cell>
          <cell r="AT18">
            <v>93.09</v>
          </cell>
        </row>
        <row r="19">
          <cell r="A19" t="str">
            <v xml:space="preserve">Escada alumínio, 4  degraus </v>
          </cell>
          <cell r="B19">
            <v>0</v>
          </cell>
          <cell r="C19" t="str">
            <v>Unidade</v>
          </cell>
          <cell r="D19">
            <v>24</v>
          </cell>
          <cell r="E19">
            <v>198</v>
          </cell>
          <cell r="F19">
            <v>96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97.9</v>
          </cell>
          <cell r="O19">
            <v>0</v>
          </cell>
          <cell r="P19">
            <v>0</v>
          </cell>
          <cell r="Q19">
            <v>128.97999999999999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113.44</v>
          </cell>
          <cell r="AS19">
            <v>130.22</v>
          </cell>
          <cell r="AT19">
            <v>107.62666666666667</v>
          </cell>
        </row>
        <row r="20">
          <cell r="A20" t="str">
            <v>Espanador Sintético longo</v>
          </cell>
          <cell r="B20">
            <v>0</v>
          </cell>
          <cell r="C20" t="str">
            <v>Unidade</v>
          </cell>
          <cell r="D20">
            <v>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11.86</v>
          </cell>
          <cell r="AR20">
            <v>11.86</v>
          </cell>
          <cell r="AS20">
            <v>11.86</v>
          </cell>
          <cell r="AT20">
            <v>11.86</v>
          </cell>
        </row>
        <row r="21">
          <cell r="A21" t="str">
            <v>Extensão Elétrica, 30 metros</v>
          </cell>
          <cell r="B21">
            <v>0</v>
          </cell>
          <cell r="C21" t="str">
            <v>Unidade</v>
          </cell>
          <cell r="D21">
            <v>12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82.36</v>
          </cell>
          <cell r="AR21">
            <v>82.36</v>
          </cell>
          <cell r="AS21">
            <v>82.36</v>
          </cell>
          <cell r="AT21">
            <v>82.36</v>
          </cell>
        </row>
        <row r="22">
          <cell r="A22" t="str">
            <v>Extensão Elétrica, 40 metros</v>
          </cell>
          <cell r="B22">
            <v>0</v>
          </cell>
          <cell r="C22" t="str">
            <v>Unidade</v>
          </cell>
          <cell r="D22">
            <v>12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47.69</v>
          </cell>
          <cell r="AR22">
            <v>47.69</v>
          </cell>
          <cell r="AS22">
            <v>47.69</v>
          </cell>
          <cell r="AT22">
            <v>47.69</v>
          </cell>
        </row>
        <row r="23">
          <cell r="A23" t="str">
            <v>Kit limpeza pesada (suporte LT)</v>
          </cell>
          <cell r="B23">
            <v>0</v>
          </cell>
          <cell r="C23" t="str">
            <v>Unidade</v>
          </cell>
          <cell r="D23">
            <v>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22.32</v>
          </cell>
          <cell r="AR23">
            <v>22.32</v>
          </cell>
          <cell r="AS23">
            <v>22.32</v>
          </cell>
          <cell r="AT23">
            <v>22.32</v>
          </cell>
        </row>
        <row r="24">
          <cell r="A24" t="str">
            <v>Lavadora de alta pressão, com  mangueira longa</v>
          </cell>
          <cell r="B24">
            <v>0</v>
          </cell>
          <cell r="C24" t="str">
            <v>máquina jateadora</v>
          </cell>
          <cell r="D24">
            <v>60</v>
          </cell>
          <cell r="E24">
            <v>0</v>
          </cell>
          <cell r="F24">
            <v>0</v>
          </cell>
          <cell r="G24">
            <v>869.61</v>
          </cell>
          <cell r="H24">
            <v>0</v>
          </cell>
          <cell r="I24">
            <v>0</v>
          </cell>
          <cell r="J24">
            <v>350</v>
          </cell>
          <cell r="K24">
            <v>289</v>
          </cell>
          <cell r="L24">
            <v>190</v>
          </cell>
          <cell r="M24">
            <v>280</v>
          </cell>
          <cell r="N24">
            <v>0</v>
          </cell>
          <cell r="O24">
            <v>1050</v>
          </cell>
          <cell r="P24">
            <v>0</v>
          </cell>
          <cell r="Q24">
            <v>536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350</v>
          </cell>
          <cell r="AS24">
            <v>509.23</v>
          </cell>
          <cell r="AT24">
            <v>306.33333333333331</v>
          </cell>
        </row>
        <row r="25">
          <cell r="A25" t="str">
            <v>Lavadora tanquinho</v>
          </cell>
          <cell r="B25">
            <v>0</v>
          </cell>
          <cell r="C25" t="str">
            <v>Unidade</v>
          </cell>
          <cell r="D25">
            <v>60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448.94</v>
          </cell>
          <cell r="AR25">
            <v>448.94</v>
          </cell>
          <cell r="AS25">
            <v>448.94</v>
          </cell>
          <cell r="AT25">
            <v>448.94</v>
          </cell>
        </row>
        <row r="26">
          <cell r="A26" t="str">
            <v>Mangueira 20 metros esguicho</v>
          </cell>
          <cell r="B26">
            <v>0</v>
          </cell>
          <cell r="C26" t="str">
            <v>Unidade</v>
          </cell>
          <cell r="D26">
            <v>12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26.53</v>
          </cell>
          <cell r="AR26">
            <v>26.53</v>
          </cell>
          <cell r="AS26">
            <v>26.53</v>
          </cell>
          <cell r="AT26">
            <v>26.53</v>
          </cell>
        </row>
        <row r="27">
          <cell r="A27" t="str">
            <v>Mangueira 60 metros esguicho</v>
          </cell>
          <cell r="B27">
            <v>0</v>
          </cell>
          <cell r="C27" t="str">
            <v>Unidade</v>
          </cell>
          <cell r="D27">
            <v>12</v>
          </cell>
          <cell r="E27">
            <v>120</v>
          </cell>
          <cell r="F27">
            <v>110</v>
          </cell>
          <cell r="G27">
            <v>0</v>
          </cell>
          <cell r="H27">
            <v>0</v>
          </cell>
          <cell r="I27">
            <v>0</v>
          </cell>
          <cell r="J27">
            <v>80</v>
          </cell>
          <cell r="K27">
            <v>59.22</v>
          </cell>
          <cell r="L27">
            <v>0</v>
          </cell>
          <cell r="M27">
            <v>40</v>
          </cell>
          <cell r="N27">
            <v>195</v>
          </cell>
          <cell r="O27">
            <v>55</v>
          </cell>
          <cell r="P27">
            <v>0</v>
          </cell>
          <cell r="Q27">
            <v>91.12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85.56</v>
          </cell>
          <cell r="AS27">
            <v>93.792500000000004</v>
          </cell>
          <cell r="AT27">
            <v>93.706666666666663</v>
          </cell>
        </row>
        <row r="28">
          <cell r="A28" t="str">
            <v>Pá coletora de lixo. Material coletor de poliestireno. Com cabo de madeira de 80 cm.</v>
          </cell>
          <cell r="B28">
            <v>0</v>
          </cell>
          <cell r="C28" t="str">
            <v>Unidade</v>
          </cell>
          <cell r="D28">
            <v>6</v>
          </cell>
          <cell r="E28">
            <v>7.55</v>
          </cell>
          <cell r="F28">
            <v>7.2</v>
          </cell>
          <cell r="G28">
            <v>7.85</v>
          </cell>
          <cell r="H28">
            <v>3.4</v>
          </cell>
          <cell r="I28">
            <v>0</v>
          </cell>
          <cell r="J28">
            <v>22</v>
          </cell>
          <cell r="K28">
            <v>4.25</v>
          </cell>
          <cell r="L28">
            <v>2.5</v>
          </cell>
          <cell r="M28">
            <v>0</v>
          </cell>
          <cell r="N28">
            <v>31.36</v>
          </cell>
          <cell r="O28">
            <v>13</v>
          </cell>
          <cell r="P28">
            <v>2.25</v>
          </cell>
          <cell r="Q28">
            <v>7.55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7.55</v>
          </cell>
          <cell r="AS28">
            <v>9.9009090909090904</v>
          </cell>
          <cell r="AT28">
            <v>7.5375000000000005</v>
          </cell>
        </row>
        <row r="29">
          <cell r="A29" t="str">
            <v>Pincel chato, nº 16 para limpeza de teclado</v>
          </cell>
          <cell r="B29">
            <v>0</v>
          </cell>
          <cell r="C29" t="str">
            <v>Unidade</v>
          </cell>
          <cell r="D29">
            <v>6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2.65</v>
          </cell>
          <cell r="AR29">
            <v>2.65</v>
          </cell>
          <cell r="AS29">
            <v>2.65</v>
          </cell>
          <cell r="AT29">
            <v>2.65</v>
          </cell>
        </row>
        <row r="30">
          <cell r="A30" t="str">
            <v>Placas sinalizadoras "Piso Molhado"</v>
          </cell>
          <cell r="B30">
            <v>0</v>
          </cell>
          <cell r="C30" t="str">
            <v>Unidade</v>
          </cell>
          <cell r="D30">
            <v>24</v>
          </cell>
          <cell r="E30">
            <v>0</v>
          </cell>
          <cell r="F30">
            <v>0</v>
          </cell>
          <cell r="G30">
            <v>48.95</v>
          </cell>
          <cell r="H30">
            <v>35</v>
          </cell>
          <cell r="I30">
            <v>0</v>
          </cell>
          <cell r="J30">
            <v>33</v>
          </cell>
          <cell r="K30">
            <v>28.53</v>
          </cell>
          <cell r="L30">
            <v>15</v>
          </cell>
          <cell r="M30">
            <v>28</v>
          </cell>
          <cell r="N30">
            <v>29.9</v>
          </cell>
          <cell r="O30">
            <v>0</v>
          </cell>
          <cell r="P30">
            <v>0</v>
          </cell>
          <cell r="Q30">
            <v>32.79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31.344999999999999</v>
          </cell>
          <cell r="AS30">
            <v>31.396250000000002</v>
          </cell>
          <cell r="AT30">
            <v>31.203333333333333</v>
          </cell>
        </row>
        <row r="31">
          <cell r="A31" t="str">
            <v>Suporte com velcro para enceradeira sem flange (semestral)</v>
          </cell>
          <cell r="B31">
            <v>0</v>
          </cell>
          <cell r="C31" t="str">
            <v>Unidade</v>
          </cell>
          <cell r="D31">
            <v>6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49.9</v>
          </cell>
          <cell r="S31">
            <v>36.72</v>
          </cell>
          <cell r="T31">
            <v>47.99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47.99</v>
          </cell>
          <cell r="AS31">
            <v>44.870000000000005</v>
          </cell>
          <cell r="AT31">
            <v>44.870000000000005</v>
          </cell>
        </row>
        <row r="32">
          <cell r="A32" t="str">
            <v>Rodo específico para limpeza de vidros</v>
          </cell>
          <cell r="B32">
            <v>0</v>
          </cell>
          <cell r="C32" t="str">
            <v>Unidade medindo no mínimo 40cm</v>
          </cell>
          <cell r="D32">
            <v>12</v>
          </cell>
          <cell r="E32">
            <v>0</v>
          </cell>
          <cell r="F32">
            <v>5.33</v>
          </cell>
          <cell r="G32">
            <v>0</v>
          </cell>
          <cell r="H32">
            <v>0</v>
          </cell>
          <cell r="I32">
            <v>0</v>
          </cell>
          <cell r="J32">
            <v>80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18.62</v>
          </cell>
          <cell r="AR32">
            <v>18.62</v>
          </cell>
          <cell r="AS32">
            <v>34.65</v>
          </cell>
          <cell r="AT32">
            <v>18.62</v>
          </cell>
        </row>
        <row r="33">
          <cell r="A33" t="str">
            <v>Rodo com 2 borrachas - 40cm de largura, com cabo</v>
          </cell>
          <cell r="B33">
            <v>0</v>
          </cell>
          <cell r="C33" t="str">
            <v>Unidade</v>
          </cell>
          <cell r="D33">
            <v>2</v>
          </cell>
          <cell r="E33">
            <v>17.8</v>
          </cell>
          <cell r="F33">
            <v>9.8000000000000007</v>
          </cell>
          <cell r="G33">
            <v>0</v>
          </cell>
          <cell r="H33">
            <v>3</v>
          </cell>
          <cell r="I33">
            <v>0</v>
          </cell>
          <cell r="J33">
            <v>12</v>
          </cell>
          <cell r="K33">
            <v>7.89</v>
          </cell>
          <cell r="L33">
            <v>2.5</v>
          </cell>
          <cell r="M33">
            <v>6</v>
          </cell>
          <cell r="N33">
            <v>6.77</v>
          </cell>
          <cell r="O33">
            <v>4.51</v>
          </cell>
          <cell r="P33">
            <v>5.04</v>
          </cell>
          <cell r="Q33">
            <v>17.8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6.77</v>
          </cell>
          <cell r="AS33">
            <v>8.4645454545454566</v>
          </cell>
          <cell r="AT33">
            <v>6.4249999999999998</v>
          </cell>
        </row>
        <row r="34">
          <cell r="A34" t="str">
            <v>Vassoura para limpeza de teto</v>
          </cell>
          <cell r="B34">
            <v>0</v>
          </cell>
          <cell r="C34" t="str">
            <v>Unidade</v>
          </cell>
          <cell r="D34">
            <v>6</v>
          </cell>
          <cell r="E34">
            <v>0</v>
          </cell>
          <cell r="F34">
            <v>10.8</v>
          </cell>
          <cell r="G34">
            <v>15.22</v>
          </cell>
          <cell r="H34">
            <v>13.2</v>
          </cell>
          <cell r="I34">
            <v>0</v>
          </cell>
          <cell r="J34">
            <v>0</v>
          </cell>
          <cell r="K34">
            <v>6.89</v>
          </cell>
          <cell r="L34">
            <v>4.8</v>
          </cell>
          <cell r="M34">
            <v>6</v>
          </cell>
          <cell r="N34">
            <v>0</v>
          </cell>
          <cell r="O34">
            <v>11.07</v>
          </cell>
          <cell r="P34">
            <v>0</v>
          </cell>
          <cell r="Q34">
            <v>17.649999999999999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10.935</v>
          </cell>
          <cell r="AS34">
            <v>10.703749999999999</v>
          </cell>
          <cell r="AT34">
            <v>11.69</v>
          </cell>
        </row>
        <row r="35">
          <cell r="A35" t="str">
            <v>Vassoura Nylon</v>
          </cell>
          <cell r="B35">
            <v>0</v>
          </cell>
          <cell r="C35" t="str">
            <v>Unidade</v>
          </cell>
          <cell r="D35">
            <v>4</v>
          </cell>
          <cell r="E35">
            <v>0</v>
          </cell>
          <cell r="F35">
            <v>0</v>
          </cell>
          <cell r="G35">
            <v>10.27</v>
          </cell>
          <cell r="H35">
            <v>0</v>
          </cell>
          <cell r="I35">
            <v>0</v>
          </cell>
          <cell r="J35">
            <v>0</v>
          </cell>
          <cell r="K35">
            <v>3.73</v>
          </cell>
          <cell r="L35">
            <v>0</v>
          </cell>
          <cell r="M35">
            <v>6</v>
          </cell>
          <cell r="N35">
            <v>0</v>
          </cell>
          <cell r="O35">
            <v>3.79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4.8949999999999996</v>
          </cell>
          <cell r="AS35">
            <v>5.9474999999999998</v>
          </cell>
          <cell r="AT35">
            <v>4.5066666666666668</v>
          </cell>
        </row>
        <row r="36">
          <cell r="A36" t="str">
            <v>Vassoura Sanitária</v>
          </cell>
          <cell r="B36">
            <v>0</v>
          </cell>
          <cell r="C36" t="str">
            <v>Unidade</v>
          </cell>
          <cell r="D36">
            <v>4</v>
          </cell>
          <cell r="E36">
            <v>0</v>
          </cell>
          <cell r="F36">
            <v>3.6</v>
          </cell>
          <cell r="G36">
            <v>10</v>
          </cell>
          <cell r="H36">
            <v>3</v>
          </cell>
          <cell r="I36">
            <v>0</v>
          </cell>
          <cell r="J36">
            <v>4.4400000000000004</v>
          </cell>
          <cell r="K36">
            <v>1.89</v>
          </cell>
          <cell r="L36">
            <v>1.5</v>
          </cell>
          <cell r="M36">
            <v>2</v>
          </cell>
          <cell r="N36">
            <v>3.5</v>
          </cell>
          <cell r="O36">
            <v>3.13</v>
          </cell>
          <cell r="P36">
            <v>6.6</v>
          </cell>
          <cell r="Q36">
            <v>3.28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3.28</v>
          </cell>
          <cell r="AS36">
            <v>3.9036363636363642</v>
          </cell>
          <cell r="AT36">
            <v>3.3020000000000005</v>
          </cell>
        </row>
        <row r="37">
          <cell r="A37" t="str">
            <v>Vassoura de pelo com 40cm de largura, com cabo</v>
          </cell>
          <cell r="B37">
            <v>0</v>
          </cell>
          <cell r="C37" t="str">
            <v>Unidade</v>
          </cell>
          <cell r="D37">
            <v>3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6.2</v>
          </cell>
          <cell r="N37">
            <v>0</v>
          </cell>
          <cell r="O37">
            <v>0</v>
          </cell>
          <cell r="P37">
            <v>6.59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8.3800000000000008</v>
          </cell>
          <cell r="AR37">
            <v>6.59</v>
          </cell>
          <cell r="AS37">
            <v>7.0566666666666675</v>
          </cell>
          <cell r="AT37">
            <v>7.0566666666666675</v>
          </cell>
        </row>
        <row r="38">
          <cell r="A38" t="str">
            <v>* Tempo de resposição estimado com base em outros editais da Administração Pública e histórico de contratações anteriores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</row>
        <row r="39">
          <cell r="A39" t="str">
            <v>MATERIAIS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</row>
        <row r="40">
          <cell r="A40" t="str">
            <v>ESPECIFICAÇÃO</v>
          </cell>
          <cell r="B40" t="str">
            <v>MARCA DE REFERÊNCIA</v>
          </cell>
          <cell r="C40" t="str">
            <v>Unidade</v>
          </cell>
          <cell r="D40" t="str">
            <v>*Reposição  a cada quantos MESES?</v>
          </cell>
          <cell r="E40" t="str">
            <v>Preço unitário (1)</v>
          </cell>
          <cell r="F40" t="str">
            <v>Preço unitário (2)</v>
          </cell>
          <cell r="G40" t="str">
            <v>Preço unitário (3)</v>
          </cell>
          <cell r="H40" t="str">
            <v>Preço unitário (4)</v>
          </cell>
          <cell r="I40" t="str">
            <v>Preço unitário (5)</v>
          </cell>
          <cell r="J40" t="str">
            <v>Preço Unitário (6)</v>
          </cell>
          <cell r="K40" t="str">
            <v>Preço Unitário (7)</v>
          </cell>
          <cell r="L40" t="str">
            <v>Preço Unitário (8)</v>
          </cell>
          <cell r="M40" t="str">
            <v>Preço Unitário (9)</v>
          </cell>
          <cell r="N40" t="str">
            <v>Preço Unitário (10)</v>
          </cell>
          <cell r="O40" t="str">
            <v>Preço Unitário (11)</v>
          </cell>
          <cell r="P40" t="str">
            <v>Preço Unitário (12)</v>
          </cell>
          <cell r="Q40" t="str">
            <v>Preço Unitário (13)</v>
          </cell>
          <cell r="R40" t="str">
            <v>Preço Unitário (14)</v>
          </cell>
          <cell r="S40" t="str">
            <v>Preço Unitário (15)</v>
          </cell>
          <cell r="T40" t="str">
            <v>Preço Unitário (16)</v>
          </cell>
          <cell r="U40" t="str">
            <v>Preço Unitário (17)</v>
          </cell>
          <cell r="V40" t="str">
            <v>Preço Unitário (18)</v>
          </cell>
          <cell r="W40" t="str">
            <v>Preço Unitário (19)</v>
          </cell>
          <cell r="X40" t="str">
            <v>Preço Unitário (20)</v>
          </cell>
          <cell r="Y40" t="str">
            <v>Preço Unitário (21)</v>
          </cell>
          <cell r="Z40" t="str">
            <v>Preço Unitário (22)</v>
          </cell>
          <cell r="AA40" t="str">
            <v>Preço Unitário (23)</v>
          </cell>
          <cell r="AB40" t="str">
            <v>Preço Unitário (24)</v>
          </cell>
          <cell r="AC40" t="str">
            <v>Preço Unitário (25)</v>
          </cell>
          <cell r="AD40" t="str">
            <v>Preço Unitário (26)</v>
          </cell>
          <cell r="AE40" t="str">
            <v>Preço Unitário (27)</v>
          </cell>
          <cell r="AF40" t="str">
            <v>Preço Unitário (28)</v>
          </cell>
          <cell r="AG40" t="str">
            <v>Preço Unitário (29)</v>
          </cell>
          <cell r="AH40" t="str">
            <v>Preço Unitário (30)</v>
          </cell>
          <cell r="AI40" t="str">
            <v>Preço Unitário (31)</v>
          </cell>
          <cell r="AJ40" t="str">
            <v>Preço Unitário (32)</v>
          </cell>
          <cell r="AK40" t="str">
            <v>Preço Unitário (33)</v>
          </cell>
          <cell r="AL40" t="str">
            <v>Preço Unitário (34)</v>
          </cell>
          <cell r="AM40" t="str">
            <v>Preço Unitário (35)</v>
          </cell>
          <cell r="AN40" t="str">
            <v>Preço Unitário (36)</v>
          </cell>
          <cell r="AO40" t="str">
            <v>Preço Unitário (37)</v>
          </cell>
          <cell r="AP40" t="str">
            <v>Preço Unitário (38)</v>
          </cell>
          <cell r="AQ40" t="str">
            <v>Preço Unitário (39)</v>
          </cell>
          <cell r="AR40" t="str">
            <v>Preço mediano</v>
          </cell>
          <cell r="AS40" t="str">
            <v>Preço unitário (médio)</v>
          </cell>
          <cell r="AT40" t="str">
            <v>Preço unitário médio 30% variação</v>
          </cell>
        </row>
        <row r="41">
          <cell r="A41" t="str">
            <v>Água sanitária  de 1ª qualidade</v>
          </cell>
          <cell r="B41" t="str">
            <v>BRILHANTE/YPE/CÂNDIDA ou superior</v>
          </cell>
          <cell r="C41" t="str">
            <v>Galão com 5 litros</v>
          </cell>
          <cell r="D41">
            <v>1</v>
          </cell>
          <cell r="E41">
            <v>11.32</v>
          </cell>
          <cell r="F41">
            <v>6.4</v>
          </cell>
          <cell r="G41">
            <v>15.6</v>
          </cell>
          <cell r="H41">
            <v>4.5</v>
          </cell>
          <cell r="I41">
            <v>0</v>
          </cell>
          <cell r="J41">
            <v>6</v>
          </cell>
          <cell r="K41">
            <v>7.5</v>
          </cell>
          <cell r="L41">
            <v>3.25</v>
          </cell>
          <cell r="M41">
            <v>7.5</v>
          </cell>
          <cell r="N41">
            <v>0</v>
          </cell>
          <cell r="O41">
            <v>6.95</v>
          </cell>
          <cell r="P41">
            <v>6.85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6.9</v>
          </cell>
          <cell r="AS41">
            <v>7.5869999999999989</v>
          </cell>
          <cell r="AT41">
            <v>6.8666666666666671</v>
          </cell>
        </row>
        <row r="42">
          <cell r="A42" t="str">
            <v>Álcool sem perfume</v>
          </cell>
          <cell r="B42">
            <v>0</v>
          </cell>
          <cell r="C42" t="str">
            <v>1 litro</v>
          </cell>
          <cell r="D42">
            <v>1</v>
          </cell>
          <cell r="E42">
            <v>4.66</v>
          </cell>
          <cell r="F42">
            <v>4.8</v>
          </cell>
          <cell r="G42">
            <v>7.73</v>
          </cell>
          <cell r="H42">
            <v>0</v>
          </cell>
          <cell r="I42">
            <v>0</v>
          </cell>
          <cell r="J42">
            <v>5</v>
          </cell>
          <cell r="K42">
            <v>4.3600000000000003</v>
          </cell>
          <cell r="L42">
            <v>0</v>
          </cell>
          <cell r="M42">
            <v>10</v>
          </cell>
          <cell r="N42">
            <v>0</v>
          </cell>
          <cell r="O42">
            <v>9.64</v>
          </cell>
          <cell r="P42">
            <v>2.78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4.9000000000000004</v>
          </cell>
          <cell r="AS42">
            <v>6.1212499999999999</v>
          </cell>
          <cell r="AT42">
            <v>4.7050000000000001</v>
          </cell>
        </row>
        <row r="43">
          <cell r="A43" t="str">
            <v>Álcool líquido 70% e/ou 90%</v>
          </cell>
          <cell r="B43" t="str">
            <v>Itajá</v>
          </cell>
          <cell r="C43" t="str">
            <v>1 litro</v>
          </cell>
          <cell r="D43">
            <v>1</v>
          </cell>
          <cell r="E43">
            <v>4.4400000000000004</v>
          </cell>
          <cell r="F43">
            <v>13</v>
          </cell>
          <cell r="G43">
            <v>3.45</v>
          </cell>
          <cell r="H43">
            <v>5</v>
          </cell>
          <cell r="I43">
            <v>0</v>
          </cell>
          <cell r="J43">
            <v>0</v>
          </cell>
          <cell r="K43">
            <v>2.79</v>
          </cell>
          <cell r="L43">
            <v>2.85</v>
          </cell>
          <cell r="M43">
            <v>0</v>
          </cell>
          <cell r="N43">
            <v>6</v>
          </cell>
          <cell r="O43">
            <v>5.65</v>
          </cell>
          <cell r="P43">
            <v>2.99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4.4400000000000004</v>
          </cell>
          <cell r="AS43">
            <v>5.13</v>
          </cell>
          <cell r="AT43">
            <v>4.6349999999999998</v>
          </cell>
        </row>
        <row r="44">
          <cell r="A44" t="str">
            <v>Cera Líquida Branca</v>
          </cell>
          <cell r="B44" t="str">
            <v>YPE/D+ ou superior</v>
          </cell>
          <cell r="C44" t="str">
            <v>galão 5 litros</v>
          </cell>
          <cell r="D44">
            <v>1</v>
          </cell>
          <cell r="E44">
            <v>0</v>
          </cell>
          <cell r="F44">
            <v>0</v>
          </cell>
          <cell r="G44">
            <v>0</v>
          </cell>
          <cell r="H44">
            <v>15.5</v>
          </cell>
          <cell r="I44">
            <v>0</v>
          </cell>
          <cell r="J44">
            <v>0</v>
          </cell>
          <cell r="K44">
            <v>13.27</v>
          </cell>
          <cell r="L44">
            <v>11.25</v>
          </cell>
          <cell r="M44">
            <v>0</v>
          </cell>
          <cell r="N44">
            <v>0</v>
          </cell>
          <cell r="O44">
            <v>19</v>
          </cell>
          <cell r="P44">
            <v>8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13.27</v>
          </cell>
          <cell r="AS44">
            <v>13.404</v>
          </cell>
          <cell r="AT44">
            <v>13.339999999999998</v>
          </cell>
        </row>
        <row r="45">
          <cell r="A45" t="str">
            <v>Desengraxante para pisos</v>
          </cell>
          <cell r="B45" t="str">
            <v>INGLEZA ou superior</v>
          </cell>
          <cell r="C45" t="str">
            <v>Galão com 5 litros</v>
          </cell>
          <cell r="D45">
            <v>1</v>
          </cell>
          <cell r="E45">
            <v>0</v>
          </cell>
          <cell r="F45">
            <v>22.5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16.5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18.62</v>
          </cell>
          <cell r="AR45">
            <v>18.62</v>
          </cell>
          <cell r="AS45">
            <v>19.206666666666667</v>
          </cell>
          <cell r="AT45">
            <v>19.206666666666667</v>
          </cell>
        </row>
        <row r="46">
          <cell r="A46" t="str">
            <v xml:space="preserve">Desinfetante de uso geral </v>
          </cell>
          <cell r="B46" t="str">
            <v>Valência</v>
          </cell>
          <cell r="C46" t="str">
            <v>galão 5 litros</v>
          </cell>
          <cell r="D46">
            <v>1</v>
          </cell>
          <cell r="E46">
            <v>8.93</v>
          </cell>
          <cell r="F46">
            <v>7.5</v>
          </cell>
          <cell r="G46">
            <v>11.16</v>
          </cell>
          <cell r="H46">
            <v>6.5</v>
          </cell>
          <cell r="I46">
            <v>0</v>
          </cell>
          <cell r="J46">
            <v>12</v>
          </cell>
          <cell r="K46">
            <v>4.8899999999999997</v>
          </cell>
          <cell r="L46">
            <v>7.5</v>
          </cell>
          <cell r="M46">
            <v>10</v>
          </cell>
          <cell r="N46">
            <v>0</v>
          </cell>
          <cell r="O46">
            <v>11.65</v>
          </cell>
          <cell r="P46">
            <v>5.47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8.2149999999999999</v>
          </cell>
          <cell r="AS46">
            <v>8.56</v>
          </cell>
          <cell r="AT46">
            <v>8.0860000000000003</v>
          </cell>
        </row>
        <row r="47">
          <cell r="A47" t="str">
            <v>Desodorizador de ambiente, fragrância lavanda ou similar</v>
          </cell>
          <cell r="B47">
            <v>0</v>
          </cell>
          <cell r="C47" t="str">
            <v>unidade</v>
          </cell>
          <cell r="D47">
            <v>1</v>
          </cell>
          <cell r="E47">
            <v>0</v>
          </cell>
          <cell r="F47">
            <v>6.4</v>
          </cell>
          <cell r="G47">
            <v>3.9</v>
          </cell>
          <cell r="H47">
            <v>0</v>
          </cell>
          <cell r="I47">
            <v>0</v>
          </cell>
          <cell r="J47">
            <v>9.0399999999999991</v>
          </cell>
          <cell r="K47">
            <v>4.99</v>
          </cell>
          <cell r="L47">
            <v>3.8</v>
          </cell>
          <cell r="M47">
            <v>6.9</v>
          </cell>
          <cell r="N47">
            <v>0</v>
          </cell>
          <cell r="O47">
            <v>6.7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6.4</v>
          </cell>
          <cell r="AS47">
            <v>5.9614285714285717</v>
          </cell>
          <cell r="AT47">
            <v>6.2474999999999996</v>
          </cell>
        </row>
        <row r="48">
          <cell r="A48" t="str">
            <v>Detergente</v>
          </cell>
          <cell r="B48">
            <v>0</v>
          </cell>
          <cell r="C48" t="str">
            <v>galão 5 litros</v>
          </cell>
          <cell r="D48">
            <v>1</v>
          </cell>
          <cell r="E48">
            <v>0</v>
          </cell>
          <cell r="F48">
            <v>20</v>
          </cell>
          <cell r="G48">
            <v>11.16</v>
          </cell>
          <cell r="H48">
            <v>0</v>
          </cell>
          <cell r="I48">
            <v>0</v>
          </cell>
          <cell r="J48">
            <v>0</v>
          </cell>
          <cell r="K48">
            <v>10.5</v>
          </cell>
          <cell r="L48">
            <v>5</v>
          </cell>
          <cell r="M48">
            <v>10</v>
          </cell>
          <cell r="N48">
            <v>17.5</v>
          </cell>
          <cell r="O48">
            <v>12.5</v>
          </cell>
          <cell r="P48">
            <v>8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10.83</v>
          </cell>
          <cell r="AS48">
            <v>11.8325</v>
          </cell>
          <cell r="AT48">
            <v>10.431999999999999</v>
          </cell>
        </row>
        <row r="49">
          <cell r="A49" t="str">
            <v>Disco BR 350mm Limpador (verde)</v>
          </cell>
          <cell r="B49" t="str">
            <v>BETTANIN/BRITISH ou superior</v>
          </cell>
          <cell r="C49" t="str">
            <v>Unidade</v>
          </cell>
          <cell r="D49">
            <v>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17.100000000000001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19.899999999999999</v>
          </cell>
          <cell r="X49">
            <v>22.77</v>
          </cell>
          <cell r="Y49">
            <v>16.239999999999998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18.5</v>
          </cell>
          <cell r="AS49">
            <v>19.002499999999998</v>
          </cell>
          <cell r="AT49">
            <v>19.002499999999998</v>
          </cell>
        </row>
        <row r="50">
          <cell r="A50" t="str">
            <v>Disco BR 350mm Limpador (preto)</v>
          </cell>
          <cell r="B50" t="str">
            <v>BETTANIN/BRITISH ou superior</v>
          </cell>
          <cell r="C50" t="str">
            <v>Unidade</v>
          </cell>
          <cell r="D50">
            <v>1</v>
          </cell>
          <cell r="E50">
            <v>0</v>
          </cell>
          <cell r="F50">
            <v>0</v>
          </cell>
          <cell r="G50">
            <v>15.39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13.64</v>
          </cell>
          <cell r="W50">
            <v>19.190000000000001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15.39</v>
          </cell>
          <cell r="AS50">
            <v>16.073333333333334</v>
          </cell>
          <cell r="AT50">
            <v>16.073333333333334</v>
          </cell>
        </row>
        <row r="51">
          <cell r="A51" t="str">
            <v>Escova de mão</v>
          </cell>
          <cell r="B51" t="str">
            <v>CONDOR/BETTANIN/SANTA MARIA ou superior</v>
          </cell>
          <cell r="C51" t="str">
            <v>Unidade</v>
          </cell>
          <cell r="D51">
            <v>1</v>
          </cell>
          <cell r="E51">
            <v>0</v>
          </cell>
          <cell r="F51">
            <v>2.7</v>
          </cell>
          <cell r="G51">
            <v>0</v>
          </cell>
          <cell r="H51">
            <v>2.15</v>
          </cell>
          <cell r="I51">
            <v>0</v>
          </cell>
          <cell r="J51">
            <v>4.29</v>
          </cell>
          <cell r="K51">
            <v>0</v>
          </cell>
          <cell r="L51">
            <v>0.9</v>
          </cell>
          <cell r="M51">
            <v>2.5</v>
          </cell>
          <cell r="N51">
            <v>10.81</v>
          </cell>
          <cell r="O51">
            <v>2.8</v>
          </cell>
          <cell r="P51">
            <v>1.7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2.6</v>
          </cell>
          <cell r="AS51">
            <v>3.4812500000000002</v>
          </cell>
          <cell r="AT51">
            <v>2.5374999999999996</v>
          </cell>
        </row>
        <row r="52">
          <cell r="A52" t="str">
            <v>Espanador Sintético longo</v>
          </cell>
          <cell r="B52">
            <v>0</v>
          </cell>
          <cell r="C52" t="str">
            <v>Unidade</v>
          </cell>
          <cell r="D52">
            <v>0</v>
          </cell>
          <cell r="E52">
            <v>11.82</v>
          </cell>
          <cell r="F52">
            <v>9.8000000000000007</v>
          </cell>
          <cell r="G52">
            <v>7.56</v>
          </cell>
          <cell r="H52">
            <v>0</v>
          </cell>
          <cell r="I52">
            <v>0</v>
          </cell>
          <cell r="J52">
            <v>0</v>
          </cell>
          <cell r="K52">
            <v>7.89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2.2999999999999998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7.89</v>
          </cell>
          <cell r="AS52">
            <v>7.8739999999999997</v>
          </cell>
          <cell r="AT52">
            <v>8.4166666666666661</v>
          </cell>
        </row>
        <row r="53">
          <cell r="A53" t="str">
            <v>Esponja de fibra com dupla face (verde e amarelo)</v>
          </cell>
          <cell r="B53" t="str">
            <v>BomBril, Assolan, 3M scotch brite ou superior</v>
          </cell>
          <cell r="C53" t="str">
            <v>Unidade</v>
          </cell>
          <cell r="D53">
            <v>1</v>
          </cell>
          <cell r="E53">
            <v>0.51</v>
          </cell>
          <cell r="F53">
            <v>1.75</v>
          </cell>
          <cell r="G53">
            <v>1.25</v>
          </cell>
          <cell r="H53">
            <v>0.49</v>
          </cell>
          <cell r="I53">
            <v>0</v>
          </cell>
          <cell r="J53">
            <v>0.55000000000000004</v>
          </cell>
          <cell r="K53">
            <v>0.99</v>
          </cell>
          <cell r="L53">
            <v>0.35</v>
          </cell>
          <cell r="M53">
            <v>0.5</v>
          </cell>
          <cell r="N53">
            <v>0.33</v>
          </cell>
          <cell r="O53">
            <v>0.38</v>
          </cell>
          <cell r="P53">
            <v>0.55000000000000004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0.51</v>
          </cell>
          <cell r="AS53">
            <v>0.69545454545454544</v>
          </cell>
          <cell r="AT53">
            <v>0.49666666666666659</v>
          </cell>
        </row>
        <row r="54">
          <cell r="A54" t="str">
            <v>Flanela branca de 1ª qualidade, medindo 40x60cm</v>
          </cell>
          <cell r="B54" t="str">
            <v>GENÉRICO</v>
          </cell>
          <cell r="C54" t="str">
            <v>Unidade</v>
          </cell>
          <cell r="D54">
            <v>1</v>
          </cell>
          <cell r="E54">
            <v>1.1499999999999999</v>
          </cell>
          <cell r="F54">
            <v>2.35</v>
          </cell>
          <cell r="G54">
            <v>1.42</v>
          </cell>
          <cell r="H54">
            <v>1.8</v>
          </cell>
          <cell r="I54">
            <v>0</v>
          </cell>
          <cell r="J54">
            <v>1.5</v>
          </cell>
          <cell r="K54">
            <v>0.75</v>
          </cell>
          <cell r="L54">
            <v>0.65</v>
          </cell>
          <cell r="M54">
            <v>1.5</v>
          </cell>
          <cell r="N54">
            <v>0</v>
          </cell>
          <cell r="O54">
            <v>1.1000000000000001</v>
          </cell>
          <cell r="P54">
            <v>1.43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1.4249999999999998</v>
          </cell>
          <cell r="AS54">
            <v>1.3649999999999998</v>
          </cell>
          <cell r="AT54">
            <v>1.4142857142857144</v>
          </cell>
        </row>
        <row r="55">
          <cell r="A55" t="str">
            <v>Refil fibra LT do kit conjunto limpeza pesada</v>
          </cell>
          <cell r="B55">
            <v>0</v>
          </cell>
          <cell r="C55" t="str">
            <v>Unidade</v>
          </cell>
          <cell r="D55">
            <v>1</v>
          </cell>
          <cell r="E55">
            <v>0</v>
          </cell>
          <cell r="F55">
            <v>0</v>
          </cell>
          <cell r="G55">
            <v>18.5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0.94</v>
          </cell>
          <cell r="T55">
            <v>0</v>
          </cell>
          <cell r="U55">
            <v>1.2</v>
          </cell>
          <cell r="V55">
            <v>1.47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1.335</v>
          </cell>
          <cell r="AS55">
            <v>5.5274999999999999</v>
          </cell>
          <cell r="AT55">
            <v>1.2033333333333331</v>
          </cell>
        </row>
        <row r="56">
          <cell r="A56" t="str">
            <v>Lã de aço</v>
          </cell>
          <cell r="B56">
            <v>0</v>
          </cell>
          <cell r="C56" t="str">
            <v>pacote</v>
          </cell>
          <cell r="D56">
            <v>1</v>
          </cell>
          <cell r="E56">
            <v>0.81</v>
          </cell>
          <cell r="F56">
            <v>2.2000000000000002</v>
          </cell>
          <cell r="G56">
            <v>2.71</v>
          </cell>
          <cell r="H56">
            <v>0</v>
          </cell>
          <cell r="I56">
            <v>0</v>
          </cell>
          <cell r="J56">
            <v>0</v>
          </cell>
          <cell r="K56">
            <v>0.86</v>
          </cell>
          <cell r="L56">
            <v>0</v>
          </cell>
          <cell r="M56">
            <v>0.6</v>
          </cell>
          <cell r="N56">
            <v>0</v>
          </cell>
          <cell r="O56">
            <v>0</v>
          </cell>
          <cell r="P56">
            <v>1.0900000000000001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0.97500000000000009</v>
          </cell>
          <cell r="AS56">
            <v>1.3783333333333336</v>
          </cell>
          <cell r="AT56">
            <v>0.91999999999999993</v>
          </cell>
        </row>
        <row r="57">
          <cell r="A57" t="str">
            <v>Limpa Carpetes</v>
          </cell>
          <cell r="B57">
            <v>0</v>
          </cell>
          <cell r="C57" t="str">
            <v>galão 5 litros</v>
          </cell>
          <cell r="D57">
            <v>1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43.4</v>
          </cell>
          <cell r="AR57">
            <v>43.4</v>
          </cell>
          <cell r="AS57">
            <v>43.4</v>
          </cell>
          <cell r="AT57">
            <v>43.4</v>
          </cell>
        </row>
        <row r="58">
          <cell r="A58" t="str">
            <v>Limpa cerâmica e azulejos</v>
          </cell>
          <cell r="B58" t="str">
            <v>Azulim</v>
          </cell>
          <cell r="C58" t="str">
            <v>1 litro</v>
          </cell>
          <cell r="D58">
            <v>1</v>
          </cell>
          <cell r="E58">
            <v>0</v>
          </cell>
          <cell r="F58">
            <v>12.8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4.97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5.59</v>
          </cell>
          <cell r="AD58">
            <v>4.97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5.2799999999999994</v>
          </cell>
          <cell r="AS58">
            <v>7.0824999999999996</v>
          </cell>
          <cell r="AT58">
            <v>5.1766666666666659</v>
          </cell>
        </row>
        <row r="59">
          <cell r="A59" t="str">
            <v>Limpa pedra</v>
          </cell>
          <cell r="B59" t="str">
            <v>Pedrex/Start</v>
          </cell>
          <cell r="C59" t="str">
            <v>1 litro</v>
          </cell>
          <cell r="D59">
            <v>1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1.23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14.25</v>
          </cell>
          <cell r="AO59">
            <v>13.19</v>
          </cell>
          <cell r="AP59">
            <v>11.3</v>
          </cell>
          <cell r="AQ59">
            <v>0</v>
          </cell>
          <cell r="AR59">
            <v>12.245000000000001</v>
          </cell>
          <cell r="AS59">
            <v>9.9924999999999997</v>
          </cell>
          <cell r="AT59">
            <v>12.913333333333332</v>
          </cell>
        </row>
        <row r="60">
          <cell r="A60" t="str">
            <v>Limpa Vidros</v>
          </cell>
          <cell r="B60">
            <v>0</v>
          </cell>
          <cell r="C60" t="str">
            <v>galão 5 litros</v>
          </cell>
          <cell r="D60">
            <v>1</v>
          </cell>
          <cell r="E60">
            <v>0</v>
          </cell>
          <cell r="F60">
            <v>32.5</v>
          </cell>
          <cell r="G60">
            <v>0</v>
          </cell>
          <cell r="H60">
            <v>17</v>
          </cell>
          <cell r="I60">
            <v>0</v>
          </cell>
          <cell r="J60">
            <v>0</v>
          </cell>
          <cell r="K60">
            <v>8.25</v>
          </cell>
          <cell r="L60">
            <v>7.5</v>
          </cell>
          <cell r="M60">
            <v>12.5</v>
          </cell>
          <cell r="N60">
            <v>0</v>
          </cell>
          <cell r="O60">
            <v>17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14.75</v>
          </cell>
          <cell r="AS60">
            <v>15.791666666666666</v>
          </cell>
          <cell r="AT60">
            <v>15.5</v>
          </cell>
        </row>
        <row r="61">
          <cell r="A61" t="str">
            <v>Limpador de inox</v>
          </cell>
          <cell r="B61" t="str">
            <v>Scoth Brite</v>
          </cell>
          <cell r="C61" t="str">
            <v>1 litro</v>
          </cell>
          <cell r="D61">
            <v>1</v>
          </cell>
          <cell r="E61">
            <v>0</v>
          </cell>
          <cell r="F61">
            <v>0</v>
          </cell>
          <cell r="G61">
            <v>104.37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23.48</v>
          </cell>
          <cell r="AF61">
            <v>22.36</v>
          </cell>
          <cell r="AG61">
            <v>28.04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25.759999999999998</v>
          </cell>
          <cell r="AS61">
            <v>44.5625</v>
          </cell>
          <cell r="AT61">
            <v>24.626666666666665</v>
          </cell>
        </row>
        <row r="62">
          <cell r="A62" t="str">
            <v>Limpador multiuso</v>
          </cell>
          <cell r="B62">
            <v>0</v>
          </cell>
          <cell r="C62" t="str">
            <v>galão 5 litros</v>
          </cell>
          <cell r="D62">
            <v>1</v>
          </cell>
          <cell r="E62">
            <v>8.67</v>
          </cell>
          <cell r="F62">
            <v>28.5</v>
          </cell>
          <cell r="G62">
            <v>15.4</v>
          </cell>
          <cell r="H62">
            <v>0</v>
          </cell>
          <cell r="I62">
            <v>0</v>
          </cell>
          <cell r="J62">
            <v>39</v>
          </cell>
          <cell r="K62">
            <v>17.100000000000001</v>
          </cell>
          <cell r="L62">
            <v>17.5</v>
          </cell>
          <cell r="M62">
            <v>15</v>
          </cell>
          <cell r="N62">
            <v>10.199999999999999</v>
          </cell>
          <cell r="O62">
            <v>0</v>
          </cell>
          <cell r="P62">
            <v>21.5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17.100000000000001</v>
          </cell>
          <cell r="AS62">
            <v>19.207777777777775</v>
          </cell>
          <cell r="AT62">
            <v>17.3</v>
          </cell>
        </row>
        <row r="63">
          <cell r="A63" t="str">
            <v>Lustra Móveis lavanda</v>
          </cell>
          <cell r="B63" t="str">
            <v>DESTAC/POLIFLOR/BRAVO ou superior</v>
          </cell>
          <cell r="C63" t="str">
            <v>Unidade com 200 ml</v>
          </cell>
          <cell r="D63">
            <v>1</v>
          </cell>
          <cell r="E63">
            <v>1.82</v>
          </cell>
          <cell r="F63">
            <v>3.15</v>
          </cell>
          <cell r="G63">
            <v>2.2999999999999998</v>
          </cell>
          <cell r="H63">
            <v>3.5</v>
          </cell>
          <cell r="I63">
            <v>0</v>
          </cell>
          <cell r="J63">
            <v>0</v>
          </cell>
          <cell r="K63">
            <v>1.89</v>
          </cell>
          <cell r="L63">
            <v>1.2</v>
          </cell>
          <cell r="M63">
            <v>2</v>
          </cell>
          <cell r="N63">
            <v>0</v>
          </cell>
          <cell r="O63">
            <v>2.4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2.15</v>
          </cell>
          <cell r="AS63">
            <v>2.2824999999999998</v>
          </cell>
          <cell r="AT63">
            <v>2.0819999999999999</v>
          </cell>
        </row>
        <row r="64">
          <cell r="A64" t="str">
            <v>Luva látex forrada</v>
          </cell>
          <cell r="B64" t="str">
            <v>SANRO/CONFORT/SCOTCH BRITE ou superior</v>
          </cell>
          <cell r="C64" t="str">
            <v>Par</v>
          </cell>
          <cell r="D64">
            <v>1</v>
          </cell>
          <cell r="E64">
            <v>7.8</v>
          </cell>
          <cell r="F64">
            <v>0</v>
          </cell>
          <cell r="G64">
            <v>3.43</v>
          </cell>
          <cell r="H64">
            <v>3</v>
          </cell>
          <cell r="I64">
            <v>0</v>
          </cell>
          <cell r="J64">
            <v>8.6</v>
          </cell>
          <cell r="K64">
            <v>1.53</v>
          </cell>
          <cell r="L64">
            <v>1.75</v>
          </cell>
          <cell r="M64">
            <v>2.2999999999999998</v>
          </cell>
          <cell r="N64">
            <v>0</v>
          </cell>
          <cell r="O64">
            <v>2.4500000000000002</v>
          </cell>
          <cell r="P64">
            <v>2.29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2.4500000000000002</v>
          </cell>
          <cell r="AS64">
            <v>3.6833333333333331</v>
          </cell>
          <cell r="AT64">
            <v>2.3579999999999997</v>
          </cell>
        </row>
        <row r="65">
          <cell r="A65" t="str">
            <v>MOP para pó profissional completo 60 cm cj 60p</v>
          </cell>
          <cell r="B65">
            <v>0</v>
          </cell>
          <cell r="C65" t="str">
            <v>unidade</v>
          </cell>
          <cell r="D65">
            <v>1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36.5</v>
          </cell>
          <cell r="AR65">
            <v>36.5</v>
          </cell>
          <cell r="AS65">
            <v>36.5</v>
          </cell>
          <cell r="AT65">
            <v>36.5</v>
          </cell>
        </row>
        <row r="66">
          <cell r="A66" t="str">
            <v>Refil MOP pó 400g 60 x15 profissional rp 600</v>
          </cell>
          <cell r="B66">
            <v>0</v>
          </cell>
          <cell r="C66" t="str">
            <v>unidade</v>
          </cell>
          <cell r="D66">
            <v>1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12.19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28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29.61</v>
          </cell>
          <cell r="AA66">
            <v>27.23</v>
          </cell>
          <cell r="AB66">
            <v>32.61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28</v>
          </cell>
          <cell r="AS66">
            <v>25.927999999999997</v>
          </cell>
          <cell r="AT66">
            <v>29.362500000000001</v>
          </cell>
        </row>
        <row r="67">
          <cell r="A67" t="str">
            <v>Pano de chão/saco alvejado</v>
          </cell>
          <cell r="B67">
            <v>0</v>
          </cell>
          <cell r="C67" t="str">
            <v>unidade</v>
          </cell>
          <cell r="D67">
            <v>1</v>
          </cell>
          <cell r="E67">
            <v>2.3199999999999998</v>
          </cell>
          <cell r="F67">
            <v>2.0499999999999998</v>
          </cell>
          <cell r="G67">
            <v>2.36</v>
          </cell>
          <cell r="H67">
            <v>2.5</v>
          </cell>
          <cell r="I67">
            <v>0</v>
          </cell>
          <cell r="J67">
            <v>1.9</v>
          </cell>
          <cell r="K67">
            <v>1.25</v>
          </cell>
          <cell r="L67">
            <v>1</v>
          </cell>
          <cell r="M67">
            <v>1.2</v>
          </cell>
          <cell r="N67">
            <v>1.1399999999999999</v>
          </cell>
          <cell r="O67">
            <v>2.2999999999999998</v>
          </cell>
          <cell r="P67">
            <v>2.5499999999999998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2.0499999999999998</v>
          </cell>
          <cell r="AS67">
            <v>1.87</v>
          </cell>
          <cell r="AT67">
            <v>2.2828571428571429</v>
          </cell>
        </row>
        <row r="68">
          <cell r="A68" t="str">
            <v>Pasta para limpeza a seco</v>
          </cell>
          <cell r="B68" t="str">
            <v>Limptek</v>
          </cell>
          <cell r="C68" t="str">
            <v>unidade 500g</v>
          </cell>
          <cell r="D68">
            <v>1</v>
          </cell>
          <cell r="E68">
            <v>0</v>
          </cell>
          <cell r="F68">
            <v>4.25</v>
          </cell>
          <cell r="G68">
            <v>4.26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4.2549999999999999</v>
          </cell>
          <cell r="AS68">
            <v>4.2549999999999999</v>
          </cell>
          <cell r="AT68">
            <v>4.2549999999999999</v>
          </cell>
        </row>
        <row r="69">
          <cell r="A69" t="str">
            <v xml:space="preserve">Removedor  para Piso </v>
          </cell>
          <cell r="B69" t="str">
            <v>BRILHANTE/YPE/CÂNDIDA ou superior</v>
          </cell>
          <cell r="C69" t="str">
            <v>galão 5 litros</v>
          </cell>
          <cell r="D69">
            <v>6</v>
          </cell>
          <cell r="E69">
            <v>24.37</v>
          </cell>
          <cell r="F69">
            <v>22.5</v>
          </cell>
          <cell r="G69">
            <v>23.95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24</v>
          </cell>
          <cell r="M69">
            <v>0</v>
          </cell>
          <cell r="N69">
            <v>0</v>
          </cell>
          <cell r="O69">
            <v>26.5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24</v>
          </cell>
          <cell r="AS69">
            <v>24.264000000000003</v>
          </cell>
          <cell r="AT69">
            <v>24.264000000000003</v>
          </cell>
        </row>
        <row r="70">
          <cell r="A70" t="str">
            <v>Sabão de coco em barra</v>
          </cell>
          <cell r="B70">
            <v>0</v>
          </cell>
          <cell r="C70" t="str">
            <v>pacote com 5 unidades</v>
          </cell>
          <cell r="D70">
            <v>1</v>
          </cell>
          <cell r="E70">
            <v>4.1900000000000004</v>
          </cell>
          <cell r="F70">
            <v>2.5</v>
          </cell>
          <cell r="G70">
            <v>0</v>
          </cell>
          <cell r="H70">
            <v>2.5</v>
          </cell>
          <cell r="I70">
            <v>0</v>
          </cell>
          <cell r="J70">
            <v>0</v>
          </cell>
          <cell r="K70">
            <v>3.15</v>
          </cell>
          <cell r="L70">
            <v>2.5</v>
          </cell>
          <cell r="M70">
            <v>2.25</v>
          </cell>
          <cell r="N70">
            <v>0</v>
          </cell>
          <cell r="O70">
            <v>3.75</v>
          </cell>
          <cell r="P70">
            <v>2.4500000000000002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2.5</v>
          </cell>
          <cell r="AS70">
            <v>2.9112500000000003</v>
          </cell>
          <cell r="AT70">
            <v>2.5583333333333336</v>
          </cell>
        </row>
        <row r="71">
          <cell r="A71" t="str">
            <v>Sabão em pó</v>
          </cell>
          <cell r="B71">
            <v>0</v>
          </cell>
          <cell r="C71" t="str">
            <v>caixa 1 kg</v>
          </cell>
          <cell r="D71">
            <v>1</v>
          </cell>
          <cell r="E71">
            <v>0</v>
          </cell>
          <cell r="F71">
            <v>5.6</v>
          </cell>
          <cell r="G71">
            <v>0</v>
          </cell>
          <cell r="H71">
            <v>0</v>
          </cell>
          <cell r="I71">
            <v>0</v>
          </cell>
          <cell r="J71">
            <v>7.48</v>
          </cell>
          <cell r="K71">
            <v>2.2000000000000002</v>
          </cell>
          <cell r="L71">
            <v>1.75</v>
          </cell>
          <cell r="M71">
            <v>2.2999999999999998</v>
          </cell>
          <cell r="N71">
            <v>0</v>
          </cell>
          <cell r="O71">
            <v>3.32</v>
          </cell>
          <cell r="P71">
            <v>2.2999999999999998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2.2999999999999998</v>
          </cell>
          <cell r="AS71">
            <v>3.5642857142857145</v>
          </cell>
          <cell r="AT71">
            <v>2.1375000000000002</v>
          </cell>
        </row>
        <row r="72">
          <cell r="A72" t="str">
            <v>Saco para lixo de 100 litros, azul</v>
          </cell>
          <cell r="B72" t="str">
            <v>ZAPACK, ECOMAX REFORÇADO ou superior</v>
          </cell>
          <cell r="C72" t="str">
            <v>Fardo com 100 unidades</v>
          </cell>
          <cell r="D72">
            <v>1</v>
          </cell>
          <cell r="E72">
            <v>0</v>
          </cell>
          <cell r="F72">
            <v>30</v>
          </cell>
          <cell r="G72">
            <v>0</v>
          </cell>
          <cell r="H72">
            <v>11</v>
          </cell>
          <cell r="I72">
            <v>0</v>
          </cell>
          <cell r="J72">
            <v>0</v>
          </cell>
          <cell r="K72">
            <v>0</v>
          </cell>
          <cell r="L72">
            <v>6.5</v>
          </cell>
          <cell r="M72">
            <v>0</v>
          </cell>
          <cell r="N72">
            <v>0</v>
          </cell>
          <cell r="O72">
            <v>24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15.29</v>
          </cell>
          <cell r="AR72">
            <v>15.29</v>
          </cell>
          <cell r="AS72">
            <v>17.357999999999997</v>
          </cell>
          <cell r="AT72">
            <v>13.145</v>
          </cell>
        </row>
        <row r="73">
          <cell r="A73" t="str">
            <v>Saco para lixo de 100 litros, cor preto</v>
          </cell>
          <cell r="B73" t="str">
            <v>ZAPACK, ECOMAX REFORÇADO ou superior</v>
          </cell>
          <cell r="C73" t="str">
            <v>Fardo com 100 unidades</v>
          </cell>
          <cell r="D73">
            <v>1</v>
          </cell>
          <cell r="E73">
            <v>0</v>
          </cell>
          <cell r="F73">
            <v>30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24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36.67</v>
          </cell>
          <cell r="AR73">
            <v>30</v>
          </cell>
          <cell r="AS73">
            <v>30.223333333333333</v>
          </cell>
          <cell r="AT73">
            <v>30.223333333333333</v>
          </cell>
        </row>
        <row r="74">
          <cell r="A74" t="str">
            <v>Saco para lixo de 20 litros,  cor preta</v>
          </cell>
          <cell r="B74" t="str">
            <v>ZAPACK, ECOMAX REFORÇADO ou superior</v>
          </cell>
          <cell r="C74" t="str">
            <v>Fardo com 100 unidades</v>
          </cell>
          <cell r="D74">
            <v>1</v>
          </cell>
          <cell r="E74">
            <v>0</v>
          </cell>
          <cell r="F74">
            <v>7.45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4.51</v>
          </cell>
          <cell r="AR74">
            <v>5.98</v>
          </cell>
          <cell r="AS74">
            <v>5.98</v>
          </cell>
          <cell r="AT74">
            <v>5.98</v>
          </cell>
        </row>
        <row r="75">
          <cell r="A75" t="str">
            <v>Saco para lixo de 40 litros, cor preta</v>
          </cell>
          <cell r="B75" t="str">
            <v>ZAPACK, ECOMAX REFORÇADO ou superior</v>
          </cell>
          <cell r="C75" t="str">
            <v>Fardo com 100 unidades</v>
          </cell>
          <cell r="D75">
            <v>1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12.8</v>
          </cell>
          <cell r="AR75">
            <v>12.8</v>
          </cell>
          <cell r="AS75">
            <v>12.8</v>
          </cell>
          <cell r="AT75">
            <v>12.8</v>
          </cell>
        </row>
        <row r="76">
          <cell r="A76" t="str">
            <v>Saco para lixo de 60 litros,  cor preto</v>
          </cell>
          <cell r="B76" t="str">
            <v>ZAPACK, ECOMAX REFORÇADO ou superior</v>
          </cell>
          <cell r="C76" t="str">
            <v>Fardo com 100 unidades</v>
          </cell>
          <cell r="D76">
            <v>1</v>
          </cell>
          <cell r="E76">
            <v>0</v>
          </cell>
          <cell r="F76">
            <v>10.8</v>
          </cell>
          <cell r="G76">
            <v>0</v>
          </cell>
          <cell r="H76">
            <v>6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6</v>
          </cell>
          <cell r="N76">
            <v>27.8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8.4</v>
          </cell>
          <cell r="AS76">
            <v>12.65</v>
          </cell>
          <cell r="AT76">
            <v>7.6000000000000005</v>
          </cell>
        </row>
        <row r="77">
          <cell r="A77" t="str">
            <v>Saponáceo Cremoso</v>
          </cell>
          <cell r="B77">
            <v>0</v>
          </cell>
          <cell r="C77" t="str">
            <v>frasco 300 ml</v>
          </cell>
          <cell r="D77">
            <v>1</v>
          </cell>
          <cell r="E77">
            <v>0</v>
          </cell>
          <cell r="F77">
            <v>3.2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1.99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2.56</v>
          </cell>
          <cell r="AR77">
            <v>2.56</v>
          </cell>
          <cell r="AS77">
            <v>2.5833333333333335</v>
          </cell>
          <cell r="AT77">
            <v>2.5833333333333335</v>
          </cell>
        </row>
        <row r="78">
          <cell r="A78" t="str">
            <v>Spray anti-mofo</v>
          </cell>
          <cell r="B78" t="str">
            <v>Sanol</v>
          </cell>
          <cell r="C78" t="str">
            <v>frasco 300 ml</v>
          </cell>
          <cell r="D78">
            <v>1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22.5</v>
          </cell>
          <cell r="AH78">
            <v>16.98</v>
          </cell>
          <cell r="AI78">
            <v>18.5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18.5</v>
          </cell>
          <cell r="AS78">
            <v>19.326666666666668</v>
          </cell>
          <cell r="AT78">
            <v>19.326666666666668</v>
          </cell>
        </row>
        <row r="79">
          <cell r="A79" t="str">
            <v>Vaselina líquida</v>
          </cell>
          <cell r="B79">
            <v>0</v>
          </cell>
          <cell r="C79" t="str">
            <v>frasco 1 L</v>
          </cell>
          <cell r="D79">
            <v>1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24</v>
          </cell>
          <cell r="K79">
            <v>0</v>
          </cell>
          <cell r="L79">
            <v>4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26.4</v>
          </cell>
          <cell r="AR79">
            <v>24</v>
          </cell>
          <cell r="AS79">
            <v>18.133333333333333</v>
          </cell>
          <cell r="AT79">
            <v>25.2</v>
          </cell>
        </row>
        <row r="80">
          <cell r="A80" t="str">
            <v>Limpador perfumado base de álcool</v>
          </cell>
          <cell r="B80">
            <v>0</v>
          </cell>
          <cell r="C80" t="str">
            <v>galão 5 litros</v>
          </cell>
          <cell r="D80">
            <v>1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14</v>
          </cell>
          <cell r="AK80">
            <v>13.86</v>
          </cell>
          <cell r="AL80">
            <v>18.489999999999998</v>
          </cell>
          <cell r="AM80">
            <v>26.66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16.244999999999997</v>
          </cell>
          <cell r="AS80">
            <v>18.252499999999998</v>
          </cell>
          <cell r="AT80">
            <v>15.449999999999998</v>
          </cell>
        </row>
        <row r="81">
          <cell r="A81" t="str">
            <v>Cera líquida incolor</v>
          </cell>
          <cell r="B81" t="str">
            <v>YPE/D+ ou superior</v>
          </cell>
          <cell r="C81" t="str">
            <v>galão 5 litros</v>
          </cell>
          <cell r="D81">
            <v>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29.23</v>
          </cell>
          <cell r="AR81">
            <v>29.23</v>
          </cell>
          <cell r="AS81">
            <v>29.23</v>
          </cell>
          <cell r="AT81">
            <v>29.23</v>
          </cell>
        </row>
        <row r="82">
          <cell r="A82" t="str">
            <v>Cera líquida preta</v>
          </cell>
          <cell r="B82" t="str">
            <v>YPE/D+ ou superior</v>
          </cell>
          <cell r="C82" t="str">
            <v>galão 5 litros</v>
          </cell>
          <cell r="D82">
            <v>1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22.22</v>
          </cell>
          <cell r="AR82">
            <v>22.22</v>
          </cell>
          <cell r="AS82">
            <v>22.22</v>
          </cell>
          <cell r="AT82">
            <v>22.22</v>
          </cell>
        </row>
        <row r="83">
          <cell r="A83" t="str">
            <v>Óleo de Peroba</v>
          </cell>
          <cell r="B83">
            <v>0</v>
          </cell>
          <cell r="C83" t="str">
            <v>200 ml</v>
          </cell>
          <cell r="D83">
            <v>1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10.119999999999999</v>
          </cell>
          <cell r="AR83">
            <v>10.119999999999999</v>
          </cell>
          <cell r="AS83">
            <v>10.119999999999999</v>
          </cell>
          <cell r="AT83">
            <v>10.119999999999999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pageSetUpPr fitToPage="1"/>
  </sheetPr>
  <dimension ref="A2:J29"/>
  <sheetViews>
    <sheetView showGridLines="0" view="pageBreakPreview" topLeftCell="A7" zoomScale="90" zoomScaleNormal="100" zoomScaleSheetLayoutView="90" workbookViewId="0">
      <selection activeCell="C31" sqref="C31"/>
    </sheetView>
  </sheetViews>
  <sheetFormatPr defaultRowHeight="15" x14ac:dyDescent="0.25"/>
  <cols>
    <col min="2" max="2" width="26.42578125" customWidth="1"/>
    <col min="3" max="3" width="8.5703125" customWidth="1"/>
    <col min="5" max="5" width="15.28515625" customWidth="1"/>
    <col min="6" max="6" width="16.5703125" customWidth="1"/>
    <col min="7" max="8" width="15.5703125" style="124" customWidth="1"/>
    <col min="9" max="9" width="16.42578125" style="124" customWidth="1"/>
    <col min="10" max="10" width="17.5703125" style="124" customWidth="1"/>
  </cols>
  <sheetData>
    <row r="2" spans="1:10" x14ac:dyDescent="0.25">
      <c r="A2" s="149" t="s">
        <v>323</v>
      </c>
      <c r="B2" s="150"/>
      <c r="C2" s="150"/>
      <c r="D2" s="150"/>
      <c r="E2" s="150"/>
      <c r="F2" s="150"/>
      <c r="G2" s="150"/>
      <c r="H2" s="150"/>
      <c r="I2" s="150"/>
      <c r="J2" s="151"/>
    </row>
    <row r="3" spans="1:10" x14ac:dyDescent="0.25">
      <c r="A3" s="152"/>
      <c r="B3" s="153"/>
      <c r="C3" s="153"/>
      <c r="D3" s="153"/>
      <c r="E3" s="153"/>
      <c r="F3" s="153"/>
      <c r="G3" s="153"/>
      <c r="H3" s="153"/>
      <c r="I3" s="153"/>
      <c r="J3" s="154"/>
    </row>
    <row r="5" spans="1:10" x14ac:dyDescent="0.25">
      <c r="A5" s="155" t="s">
        <v>302</v>
      </c>
      <c r="B5" s="155"/>
      <c r="C5" s="155"/>
      <c r="D5" s="155"/>
      <c r="E5" s="155"/>
      <c r="F5" s="155"/>
      <c r="G5" s="155"/>
      <c r="H5" s="155"/>
      <c r="I5" s="155"/>
      <c r="J5" s="155"/>
    </row>
    <row r="6" spans="1:10" ht="64.5" customHeight="1" x14ac:dyDescent="0.25">
      <c r="A6" s="40" t="s">
        <v>179</v>
      </c>
      <c r="B6" s="40" t="s">
        <v>194</v>
      </c>
      <c r="C6" s="40" t="s">
        <v>232</v>
      </c>
      <c r="D6" s="40" t="s">
        <v>209</v>
      </c>
      <c r="E6" s="40" t="s">
        <v>223</v>
      </c>
      <c r="F6" s="40" t="s">
        <v>224</v>
      </c>
      <c r="G6" s="117" t="s">
        <v>225</v>
      </c>
      <c r="H6" s="117" t="s">
        <v>230</v>
      </c>
      <c r="I6" s="117" t="s">
        <v>229</v>
      </c>
      <c r="J6" s="117" t="s">
        <v>226</v>
      </c>
    </row>
    <row r="7" spans="1:10" s="42" customFormat="1" ht="20.100000000000001" customHeight="1" x14ac:dyDescent="0.25">
      <c r="A7" s="41">
        <v>1</v>
      </c>
      <c r="B7" s="41" t="s">
        <v>227</v>
      </c>
      <c r="C7" s="41">
        <v>25194</v>
      </c>
      <c r="D7" s="41" t="s">
        <v>207</v>
      </c>
      <c r="E7" s="63">
        <v>1</v>
      </c>
      <c r="F7" s="63">
        <f>E7*12</f>
        <v>12</v>
      </c>
      <c r="G7" s="118">
        <f>ARACATUBA!K175</f>
        <v>4692.55</v>
      </c>
      <c r="H7" s="118">
        <f>G7*E7</f>
        <v>4692.55</v>
      </c>
      <c r="I7" s="118">
        <f>ROUND(G7*F7,2)</f>
        <v>56310.6</v>
      </c>
      <c r="J7" s="156">
        <f>SUM(I7:I10)</f>
        <v>61304.28</v>
      </c>
    </row>
    <row r="8" spans="1:10" s="42" customFormat="1" ht="20.100000000000001" customHeight="1" x14ac:dyDescent="0.25">
      <c r="A8" s="41">
        <v>2</v>
      </c>
      <c r="B8" s="41" t="s">
        <v>212</v>
      </c>
      <c r="C8" s="41">
        <v>372618</v>
      </c>
      <c r="D8" s="41" t="s">
        <v>143</v>
      </c>
      <c r="E8" s="63">
        <f>DESCARTÁVEIS!D5</f>
        <v>38</v>
      </c>
      <c r="F8" s="63">
        <f>E8*12</f>
        <v>456</v>
      </c>
      <c r="G8" s="118">
        <f>DESCARTÁVEIS!F5</f>
        <v>4.3499999999999996</v>
      </c>
      <c r="H8" s="118">
        <f>ROUND(E8*G8,2)</f>
        <v>165.3</v>
      </c>
      <c r="I8" s="118">
        <f>ROUND(G8*F8,2)</f>
        <v>1983.6</v>
      </c>
      <c r="J8" s="156"/>
    </row>
    <row r="9" spans="1:10" s="42" customFormat="1" ht="20.100000000000001" customHeight="1" x14ac:dyDescent="0.25">
      <c r="A9" s="41">
        <v>3</v>
      </c>
      <c r="B9" s="41" t="s">
        <v>213</v>
      </c>
      <c r="C9" s="41">
        <v>436328</v>
      </c>
      <c r="D9" s="41" t="s">
        <v>143</v>
      </c>
      <c r="E9" s="63">
        <f>DESCARTÁVEIS!D6</f>
        <v>38</v>
      </c>
      <c r="F9" s="63">
        <f>E9*12</f>
        <v>456</v>
      </c>
      <c r="G9" s="118">
        <f>DESCARTÁVEIS!F6</f>
        <v>6.05</v>
      </c>
      <c r="H9" s="118">
        <f>ROUND(E9*G9,2)</f>
        <v>229.9</v>
      </c>
      <c r="I9" s="118">
        <f>ROUND(G9*F9,2)</f>
        <v>2758.8</v>
      </c>
      <c r="J9" s="156"/>
    </row>
    <row r="10" spans="1:10" s="42" customFormat="1" ht="20.100000000000001" customHeight="1" x14ac:dyDescent="0.25">
      <c r="A10" s="41">
        <v>4</v>
      </c>
      <c r="B10" s="41" t="s">
        <v>228</v>
      </c>
      <c r="C10" s="41">
        <v>405155</v>
      </c>
      <c r="D10" s="41" t="s">
        <v>143</v>
      </c>
      <c r="E10" s="63">
        <f>DESCARTÁVEIS!D7</f>
        <v>3</v>
      </c>
      <c r="F10" s="63">
        <f>E10*12</f>
        <v>36</v>
      </c>
      <c r="G10" s="118">
        <f>DESCARTÁVEIS!F7</f>
        <v>6.98</v>
      </c>
      <c r="H10" s="118">
        <f>ROUND(E10*G10,2)</f>
        <v>20.94</v>
      </c>
      <c r="I10" s="118">
        <f>ROUND(G10*F10,2)</f>
        <v>251.28</v>
      </c>
      <c r="J10" s="156"/>
    </row>
    <row r="11" spans="1:10" x14ac:dyDescent="0.25">
      <c r="A11" s="157" t="s">
        <v>303</v>
      </c>
      <c r="B11" s="157"/>
      <c r="C11" s="157"/>
      <c r="D11" s="157"/>
      <c r="E11" s="157"/>
      <c r="F11" s="157"/>
      <c r="G11" s="157"/>
      <c r="H11" s="157"/>
      <c r="I11" s="157"/>
      <c r="J11" s="121">
        <f>J7</f>
        <v>61304.28</v>
      </c>
    </row>
    <row r="13" spans="1:10" x14ac:dyDescent="0.25">
      <c r="A13" s="155" t="s">
        <v>304</v>
      </c>
      <c r="B13" s="155"/>
      <c r="C13" s="155"/>
      <c r="D13" s="155"/>
      <c r="E13" s="155"/>
      <c r="F13" s="155"/>
      <c r="G13" s="155"/>
      <c r="H13" s="155"/>
      <c r="I13" s="155"/>
      <c r="J13" s="155"/>
    </row>
    <row r="14" spans="1:10" ht="60" x14ac:dyDescent="0.25">
      <c r="A14" s="40" t="s">
        <v>179</v>
      </c>
      <c r="B14" s="40" t="s">
        <v>194</v>
      </c>
      <c r="C14" s="40" t="s">
        <v>232</v>
      </c>
      <c r="D14" s="40" t="s">
        <v>209</v>
      </c>
      <c r="E14" s="40" t="s">
        <v>223</v>
      </c>
      <c r="F14" s="40" t="s">
        <v>224</v>
      </c>
      <c r="G14" s="117" t="s">
        <v>225</v>
      </c>
      <c r="H14" s="117" t="s">
        <v>230</v>
      </c>
      <c r="I14" s="117" t="s">
        <v>229</v>
      </c>
      <c r="J14" s="117" t="s">
        <v>226</v>
      </c>
    </row>
    <row r="15" spans="1:10" x14ac:dyDescent="0.25">
      <c r="A15" s="41">
        <v>5</v>
      </c>
      <c r="B15" s="41" t="s">
        <v>227</v>
      </c>
      <c r="C15" s="41">
        <v>25194</v>
      </c>
      <c r="D15" s="41" t="s">
        <v>207</v>
      </c>
      <c r="E15" s="63">
        <v>1</v>
      </c>
      <c r="F15" s="63">
        <f>E15*12</f>
        <v>12</v>
      </c>
      <c r="G15" s="118">
        <f>CAMPINAS!K175</f>
        <v>4852.16</v>
      </c>
      <c r="H15" s="118">
        <f>G15*E15</f>
        <v>4852.16</v>
      </c>
      <c r="I15" s="118">
        <f>ROUND(G15*F15,2)</f>
        <v>58225.919999999998</v>
      </c>
      <c r="J15" s="156">
        <f>SUM(I15:I18)</f>
        <v>66588.959999999992</v>
      </c>
    </row>
    <row r="16" spans="1:10" x14ac:dyDescent="0.25">
      <c r="A16" s="41">
        <v>6</v>
      </c>
      <c r="B16" s="41" t="s">
        <v>212</v>
      </c>
      <c r="C16" s="41">
        <v>372618</v>
      </c>
      <c r="D16" s="41" t="s">
        <v>143</v>
      </c>
      <c r="E16" s="63">
        <f>DESCARTÁVEIS!D13</f>
        <v>62</v>
      </c>
      <c r="F16" s="63">
        <f>E16*12</f>
        <v>744</v>
      </c>
      <c r="G16" s="118">
        <f>DESCARTÁVEIS!F13</f>
        <v>4.3499999999999996</v>
      </c>
      <c r="H16" s="118">
        <f>ROUND(E16*G16,2)</f>
        <v>269.7</v>
      </c>
      <c r="I16" s="118">
        <f>ROUND(G16*F16,2)</f>
        <v>3236.4</v>
      </c>
      <c r="J16" s="156"/>
    </row>
    <row r="17" spans="1:10" x14ac:dyDescent="0.25">
      <c r="A17" s="41">
        <v>7</v>
      </c>
      <c r="B17" s="41" t="s">
        <v>213</v>
      </c>
      <c r="C17" s="41">
        <v>436328</v>
      </c>
      <c r="D17" s="41" t="s">
        <v>143</v>
      </c>
      <c r="E17" s="63">
        <f>DESCARTÁVEIS!D14</f>
        <v>66</v>
      </c>
      <c r="F17" s="63">
        <f>E17*12</f>
        <v>792</v>
      </c>
      <c r="G17" s="118">
        <f>DESCARTÁVEIS!F14</f>
        <v>6.05</v>
      </c>
      <c r="H17" s="118">
        <f>ROUND(E17*G17,2)</f>
        <v>399.3</v>
      </c>
      <c r="I17" s="118">
        <f>ROUND(G17*F17,2)</f>
        <v>4791.6000000000004</v>
      </c>
      <c r="J17" s="156"/>
    </row>
    <row r="18" spans="1:10" x14ac:dyDescent="0.25">
      <c r="A18" s="41">
        <v>8</v>
      </c>
      <c r="B18" s="41" t="s">
        <v>228</v>
      </c>
      <c r="C18" s="41">
        <v>405155</v>
      </c>
      <c r="D18" s="41" t="s">
        <v>143</v>
      </c>
      <c r="E18" s="63">
        <f>DESCARTÁVEIS!D15</f>
        <v>4</v>
      </c>
      <c r="F18" s="63">
        <f>E18*12</f>
        <v>48</v>
      </c>
      <c r="G18" s="118">
        <f>DESCARTÁVEIS!F15</f>
        <v>6.98</v>
      </c>
      <c r="H18" s="118">
        <f>ROUND(E18*G18,2)</f>
        <v>27.92</v>
      </c>
      <c r="I18" s="118">
        <f>ROUND(G18*F18,2)</f>
        <v>335.04</v>
      </c>
      <c r="J18" s="156"/>
    </row>
    <row r="19" spans="1:10" x14ac:dyDescent="0.25">
      <c r="A19" s="157" t="s">
        <v>305</v>
      </c>
      <c r="B19" s="157"/>
      <c r="C19" s="157"/>
      <c r="D19" s="157"/>
      <c r="E19" s="157"/>
      <c r="F19" s="157"/>
      <c r="G19" s="157"/>
      <c r="H19" s="157"/>
      <c r="I19" s="157"/>
      <c r="J19" s="121">
        <f>J15</f>
        <v>66588.959999999992</v>
      </c>
    </row>
    <row r="21" spans="1:10" x14ac:dyDescent="0.25">
      <c r="A21" s="158" t="s">
        <v>306</v>
      </c>
      <c r="B21" s="158"/>
      <c r="C21" s="158"/>
      <c r="D21" s="158"/>
      <c r="E21" s="158"/>
      <c r="F21" s="158"/>
      <c r="G21" s="158"/>
      <c r="H21" s="158"/>
      <c r="I21" s="158"/>
      <c r="J21" s="158"/>
    </row>
    <row r="22" spans="1:10" ht="60" x14ac:dyDescent="0.25">
      <c r="A22" s="114" t="s">
        <v>179</v>
      </c>
      <c r="B22" s="114" t="s">
        <v>194</v>
      </c>
      <c r="C22" s="114" t="s">
        <v>232</v>
      </c>
      <c r="D22" s="114" t="s">
        <v>209</v>
      </c>
      <c r="E22" s="114" t="s">
        <v>223</v>
      </c>
      <c r="F22" s="114" t="s">
        <v>224</v>
      </c>
      <c r="G22" s="119" t="s">
        <v>225</v>
      </c>
      <c r="H22" s="119" t="s">
        <v>230</v>
      </c>
      <c r="I22" s="119" t="s">
        <v>229</v>
      </c>
      <c r="J22" s="119" t="s">
        <v>226</v>
      </c>
    </row>
    <row r="23" spans="1:10" x14ac:dyDescent="0.25">
      <c r="A23" s="115">
        <v>9</v>
      </c>
      <c r="B23" s="115" t="s">
        <v>227</v>
      </c>
      <c r="C23" s="115">
        <v>25194</v>
      </c>
      <c r="D23" s="115" t="s">
        <v>207</v>
      </c>
      <c r="E23" s="116">
        <v>1</v>
      </c>
      <c r="F23" s="116">
        <f>E23*12</f>
        <v>12</v>
      </c>
      <c r="G23" s="120">
        <f>'PRESIDENTE PRUDENTE'!K172</f>
        <v>5010.03</v>
      </c>
      <c r="H23" s="120">
        <f>G23*E23</f>
        <v>5010.03</v>
      </c>
      <c r="I23" s="120">
        <f>ROUND(G23*F23,2)</f>
        <v>60120.36</v>
      </c>
      <c r="J23" s="159">
        <f>SUM(I23:I26)</f>
        <v>65490.84</v>
      </c>
    </row>
    <row r="24" spans="1:10" x14ac:dyDescent="0.25">
      <c r="A24" s="115">
        <v>10</v>
      </c>
      <c r="B24" s="115" t="s">
        <v>212</v>
      </c>
      <c r="C24" s="115">
        <v>372618</v>
      </c>
      <c r="D24" s="115" t="s">
        <v>143</v>
      </c>
      <c r="E24" s="116">
        <f>DESCARTÁVEIS!D21</f>
        <v>48</v>
      </c>
      <c r="F24" s="116">
        <f>E24*12</f>
        <v>576</v>
      </c>
      <c r="G24" s="120">
        <f>DESCARTÁVEIS!F21</f>
        <v>4.3499999999999996</v>
      </c>
      <c r="H24" s="120">
        <f>ROUND(E24*G24,2)</f>
        <v>208.8</v>
      </c>
      <c r="I24" s="120">
        <f>ROUND(G24*F24,2)</f>
        <v>2505.6</v>
      </c>
      <c r="J24" s="159"/>
    </row>
    <row r="25" spans="1:10" x14ac:dyDescent="0.25">
      <c r="A25" s="115">
        <v>11</v>
      </c>
      <c r="B25" s="115" t="s">
        <v>213</v>
      </c>
      <c r="C25" s="115">
        <v>436328</v>
      </c>
      <c r="D25" s="115" t="s">
        <v>143</v>
      </c>
      <c r="E25" s="116">
        <f>DESCARTÁVEIS!D22</f>
        <v>36</v>
      </c>
      <c r="F25" s="116">
        <f>E25*12</f>
        <v>432</v>
      </c>
      <c r="G25" s="120">
        <f>DESCARTÁVEIS!F22</f>
        <v>6.05</v>
      </c>
      <c r="H25" s="120">
        <f>ROUND(E25*G25,2)</f>
        <v>217.8</v>
      </c>
      <c r="I25" s="120">
        <f>ROUND(G25*F25,2)</f>
        <v>2613.6</v>
      </c>
      <c r="J25" s="159"/>
    </row>
    <row r="26" spans="1:10" x14ac:dyDescent="0.25">
      <c r="A26" s="115">
        <v>12</v>
      </c>
      <c r="B26" s="115" t="s">
        <v>228</v>
      </c>
      <c r="C26" s="115">
        <v>405155</v>
      </c>
      <c r="D26" s="115" t="s">
        <v>143</v>
      </c>
      <c r="E26" s="116">
        <f>DESCARTÁVEIS!D23</f>
        <v>3</v>
      </c>
      <c r="F26" s="116">
        <f>E26*12</f>
        <v>36</v>
      </c>
      <c r="G26" s="120">
        <f>DESCARTÁVEIS!F23</f>
        <v>6.98</v>
      </c>
      <c r="H26" s="120">
        <f>ROUND(E26*G26,2)</f>
        <v>20.94</v>
      </c>
      <c r="I26" s="120">
        <f>ROUND(G26*F26,2)</f>
        <v>251.28</v>
      </c>
      <c r="J26" s="159"/>
    </row>
    <row r="27" spans="1:10" x14ac:dyDescent="0.25">
      <c r="A27" s="160" t="s">
        <v>307</v>
      </c>
      <c r="B27" s="160"/>
      <c r="C27" s="160"/>
      <c r="D27" s="160"/>
      <c r="E27" s="160"/>
      <c r="F27" s="160"/>
      <c r="G27" s="160"/>
      <c r="H27" s="160"/>
      <c r="I27" s="160"/>
      <c r="J27" s="122">
        <f>J23</f>
        <v>65490.84</v>
      </c>
    </row>
    <row r="28" spans="1:10" x14ac:dyDescent="0.25">
      <c r="A28" s="113"/>
      <c r="B28" s="113"/>
      <c r="C28" s="113"/>
      <c r="D28" s="113"/>
      <c r="E28" s="113"/>
      <c r="F28" s="113"/>
      <c r="G28" s="123"/>
      <c r="H28" s="123"/>
      <c r="I28" s="123"/>
    </row>
    <row r="29" spans="1:10" x14ac:dyDescent="0.25">
      <c r="A29" s="148" t="s">
        <v>308</v>
      </c>
      <c r="B29" s="148"/>
      <c r="C29" s="148"/>
      <c r="D29" s="148"/>
      <c r="E29" s="148"/>
      <c r="F29" s="148"/>
      <c r="G29" s="148"/>
      <c r="H29" s="148"/>
      <c r="I29" s="148"/>
      <c r="J29" s="125">
        <f>J11+J19+J27</f>
        <v>193384.08</v>
      </c>
    </row>
  </sheetData>
  <mergeCells count="11">
    <mergeCell ref="A29:I29"/>
    <mergeCell ref="A2:J3"/>
    <mergeCell ref="A13:J13"/>
    <mergeCell ref="J15:J18"/>
    <mergeCell ref="A19:I19"/>
    <mergeCell ref="J7:J10"/>
    <mergeCell ref="A5:J5"/>
    <mergeCell ref="A11:I11"/>
    <mergeCell ref="A21:J21"/>
    <mergeCell ref="J23:J26"/>
    <mergeCell ref="A27:I27"/>
  </mergeCells>
  <pageMargins left="0.51181102362204722" right="0.51181102362204722" top="0.78740157480314965" bottom="0.78740157480314965" header="0.31496062992125984" footer="0.31496062992125984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>
    <pageSetUpPr fitToPage="1"/>
  </sheetPr>
  <dimension ref="A1:T180"/>
  <sheetViews>
    <sheetView showGridLines="0" view="pageBreakPreview" zoomScaleNormal="115" zoomScaleSheetLayoutView="100" workbookViewId="0">
      <selection activeCell="D4" sqref="D4:K4"/>
    </sheetView>
  </sheetViews>
  <sheetFormatPr defaultColWidth="8.7109375" defaultRowHeight="15" x14ac:dyDescent="0.25"/>
  <cols>
    <col min="1" max="1" width="7.140625" style="126" customWidth="1"/>
    <col min="2" max="2" width="6.7109375" style="126" customWidth="1"/>
    <col min="3" max="3" width="6.28515625" style="126" customWidth="1"/>
    <col min="4" max="4" width="8.7109375" style="126"/>
    <col min="5" max="5" width="11.28515625" style="126" customWidth="1"/>
    <col min="6" max="6" width="19.140625" style="126" customWidth="1"/>
    <col min="7" max="7" width="11.85546875" style="126" customWidth="1"/>
    <col min="8" max="8" width="10.7109375" style="126" customWidth="1"/>
    <col min="9" max="9" width="8.7109375" style="126"/>
    <col min="10" max="10" width="7" style="126" customWidth="1"/>
    <col min="11" max="11" width="37.140625" style="138" customWidth="1"/>
    <col min="12" max="12" width="3.42578125" style="126" customWidth="1"/>
    <col min="13" max="13" width="11.140625" style="127" bestFit="1" customWidth="1"/>
    <col min="14" max="14" width="11.7109375" style="127" bestFit="1" customWidth="1"/>
    <col min="15" max="19" width="8.7109375" style="127"/>
    <col min="20" max="20" width="19.5703125" style="127" customWidth="1"/>
    <col min="21" max="16384" width="8.7109375" style="126"/>
  </cols>
  <sheetData>
    <row r="1" spans="1:12" ht="21.75" customHeight="1" x14ac:dyDescent="0.25">
      <c r="A1" s="166" t="s">
        <v>293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2" ht="6.75" customHeight="1" x14ac:dyDescent="0.2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2" x14ac:dyDescent="0.25">
      <c r="A3" s="161" t="s">
        <v>1</v>
      </c>
      <c r="B3" s="161"/>
      <c r="C3" s="161"/>
      <c r="D3" s="168" t="s">
        <v>2</v>
      </c>
      <c r="E3" s="168"/>
      <c r="F3" s="168"/>
      <c r="G3" s="168"/>
      <c r="H3" s="168"/>
      <c r="I3" s="168"/>
      <c r="J3" s="168"/>
      <c r="K3" s="168"/>
    </row>
    <row r="4" spans="1:12" ht="17.25" customHeight="1" x14ac:dyDescent="0.25">
      <c r="A4" s="161" t="s">
        <v>3</v>
      </c>
      <c r="B4" s="161"/>
      <c r="C4" s="161"/>
      <c r="D4" s="169" t="s">
        <v>324</v>
      </c>
      <c r="E4" s="169"/>
      <c r="F4" s="169"/>
      <c r="G4" s="169"/>
      <c r="H4" s="169"/>
      <c r="I4" s="169"/>
      <c r="J4" s="169"/>
      <c r="K4" s="169"/>
    </row>
    <row r="5" spans="1:12" ht="17.25" customHeight="1" x14ac:dyDescent="0.25">
      <c r="A5" s="161" t="s">
        <v>4</v>
      </c>
      <c r="B5" s="161"/>
      <c r="C5" s="161"/>
      <c r="D5" s="162"/>
      <c r="E5" s="162"/>
      <c r="F5" s="162"/>
      <c r="G5" s="162"/>
      <c r="H5" s="162"/>
      <c r="I5" s="162"/>
      <c r="J5" s="162"/>
      <c r="K5" s="162"/>
    </row>
    <row r="6" spans="1:12" ht="17.25" customHeight="1" x14ac:dyDescent="0.25">
      <c r="A6" s="161" t="s">
        <v>5</v>
      </c>
      <c r="B6" s="161"/>
      <c r="C6" s="161"/>
      <c r="D6" s="163" t="s">
        <v>301</v>
      </c>
      <c r="E6" s="163"/>
      <c r="F6" s="163"/>
      <c r="G6" s="163"/>
      <c r="H6" s="163"/>
      <c r="I6" s="163"/>
      <c r="J6" s="163"/>
      <c r="K6" s="163"/>
    </row>
    <row r="7" spans="1:12" ht="6.75" customHeight="1" x14ac:dyDescent="0.25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</row>
    <row r="8" spans="1:12" ht="6.75" customHeight="1" x14ac:dyDescent="0.25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</row>
    <row r="9" spans="1:12" ht="17.25" customHeight="1" x14ac:dyDescent="0.25">
      <c r="A9" s="172" t="s">
        <v>6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</row>
    <row r="10" spans="1:12" ht="17.25" customHeight="1" x14ac:dyDescent="0.25">
      <c r="A10" s="54" t="s">
        <v>7</v>
      </c>
      <c r="B10" s="171" t="s">
        <v>8</v>
      </c>
      <c r="C10" s="171"/>
      <c r="D10" s="171"/>
      <c r="E10" s="171"/>
      <c r="F10" s="171"/>
      <c r="G10" s="171"/>
      <c r="H10" s="171"/>
      <c r="I10" s="171"/>
      <c r="J10" s="171"/>
      <c r="K10" s="3"/>
    </row>
    <row r="11" spans="1:12" ht="16.5" customHeight="1" x14ac:dyDescent="0.25">
      <c r="A11" s="54" t="s">
        <v>9</v>
      </c>
      <c r="B11" s="171" t="s">
        <v>10</v>
      </c>
      <c r="C11" s="171"/>
      <c r="D11" s="171"/>
      <c r="E11" s="171"/>
      <c r="F11" s="171"/>
      <c r="G11" s="171"/>
      <c r="H11" s="171"/>
      <c r="I11" s="171"/>
      <c r="J11" s="171"/>
      <c r="K11" s="60" t="s">
        <v>300</v>
      </c>
    </row>
    <row r="12" spans="1:12" x14ac:dyDescent="0.25">
      <c r="A12" s="54" t="s">
        <v>11</v>
      </c>
      <c r="B12" s="171" t="s">
        <v>12</v>
      </c>
      <c r="C12" s="171"/>
      <c r="D12" s="171"/>
      <c r="E12" s="171"/>
      <c r="F12" s="171"/>
      <c r="G12" s="171"/>
      <c r="H12" s="171"/>
      <c r="I12" s="171"/>
      <c r="J12" s="171"/>
      <c r="K12" s="6" t="s">
        <v>13</v>
      </c>
    </row>
    <row r="13" spans="1:12" ht="16.5" customHeight="1" x14ac:dyDescent="0.25">
      <c r="A13" s="54" t="s">
        <v>14</v>
      </c>
      <c r="B13" s="170" t="s">
        <v>15</v>
      </c>
      <c r="C13" s="170"/>
      <c r="D13" s="170"/>
      <c r="E13" s="170"/>
      <c r="F13" s="170"/>
      <c r="G13" s="170"/>
      <c r="H13" s="170"/>
      <c r="I13" s="170"/>
      <c r="J13" s="170"/>
      <c r="K13" s="60" t="s">
        <v>207</v>
      </c>
    </row>
    <row r="14" spans="1:12" ht="16.5" customHeight="1" x14ac:dyDescent="0.25">
      <c r="A14" s="54" t="s">
        <v>16</v>
      </c>
      <c r="B14" s="170" t="s">
        <v>17</v>
      </c>
      <c r="C14" s="170"/>
      <c r="D14" s="170"/>
      <c r="E14" s="170"/>
      <c r="F14" s="170"/>
      <c r="G14" s="170"/>
      <c r="H14" s="170"/>
      <c r="I14" s="170"/>
      <c r="J14" s="170"/>
      <c r="K14" s="7" t="s">
        <v>244</v>
      </c>
    </row>
    <row r="15" spans="1:12" ht="16.5" customHeight="1" x14ac:dyDescent="0.25">
      <c r="A15" s="54" t="s">
        <v>18</v>
      </c>
      <c r="B15" s="170" t="s">
        <v>19</v>
      </c>
      <c r="C15" s="170"/>
      <c r="D15" s="170"/>
      <c r="E15" s="170"/>
      <c r="F15" s="170"/>
      <c r="G15" s="170"/>
      <c r="H15" s="170"/>
      <c r="I15" s="170"/>
      <c r="J15" s="170"/>
      <c r="K15" s="60" t="s">
        <v>20</v>
      </c>
    </row>
    <row r="16" spans="1:12" ht="25.5" x14ac:dyDescent="0.25">
      <c r="A16" s="54" t="s">
        <v>21</v>
      </c>
      <c r="B16" s="170" t="s">
        <v>22</v>
      </c>
      <c r="C16" s="170"/>
      <c r="D16" s="170"/>
      <c r="E16" s="170"/>
      <c r="F16" s="170"/>
      <c r="G16" s="170"/>
      <c r="H16" s="170"/>
      <c r="I16" s="170"/>
      <c r="J16" s="170"/>
      <c r="K16" s="8" t="s">
        <v>257</v>
      </c>
      <c r="L16" s="128"/>
    </row>
    <row r="17" spans="1:20" ht="15.75" customHeight="1" x14ac:dyDescent="0.25">
      <c r="A17" s="54" t="s">
        <v>23</v>
      </c>
      <c r="B17" s="170" t="s">
        <v>24</v>
      </c>
      <c r="C17" s="170"/>
      <c r="D17" s="170"/>
      <c r="E17" s="170"/>
      <c r="F17" s="170"/>
      <c r="G17" s="170"/>
      <c r="H17" s="170"/>
      <c r="I17" s="170"/>
      <c r="J17" s="170"/>
      <c r="K17" s="60">
        <v>1320</v>
      </c>
      <c r="L17" s="128"/>
    </row>
    <row r="18" spans="1:20" ht="16.5" customHeight="1" x14ac:dyDescent="0.25">
      <c r="A18" s="54" t="s">
        <v>0</v>
      </c>
      <c r="B18" s="170" t="s">
        <v>292</v>
      </c>
      <c r="C18" s="170"/>
      <c r="D18" s="170"/>
      <c r="E18" s="170"/>
      <c r="F18" s="170"/>
      <c r="G18" s="170"/>
      <c r="H18" s="170"/>
      <c r="I18" s="170"/>
      <c r="J18" s="170"/>
      <c r="K18" s="59">
        <v>1481.56</v>
      </c>
    </row>
    <row r="19" spans="1:20" x14ac:dyDescent="0.25">
      <c r="A19" s="54" t="s">
        <v>25</v>
      </c>
      <c r="B19" s="171" t="s">
        <v>26</v>
      </c>
      <c r="C19" s="171"/>
      <c r="D19" s="171"/>
      <c r="E19" s="171"/>
      <c r="F19" s="171"/>
      <c r="G19" s="171"/>
      <c r="H19" s="171"/>
      <c r="I19" s="171"/>
      <c r="J19" s="171"/>
      <c r="K19" s="1" t="s">
        <v>313</v>
      </c>
    </row>
    <row r="20" spans="1:20" ht="16.5" customHeight="1" x14ac:dyDescent="0.25">
      <c r="A20" s="54" t="s">
        <v>27</v>
      </c>
      <c r="B20" s="171" t="s">
        <v>28</v>
      </c>
      <c r="C20" s="171"/>
      <c r="D20" s="171"/>
      <c r="E20" s="171"/>
      <c r="F20" s="171"/>
      <c r="G20" s="171"/>
      <c r="H20" s="171"/>
      <c r="I20" s="171"/>
      <c r="J20" s="171"/>
      <c r="K20" s="2" t="s">
        <v>291</v>
      </c>
    </row>
    <row r="21" spans="1:20" ht="17.25" customHeight="1" x14ac:dyDescent="0.25">
      <c r="A21" s="54" t="s">
        <v>29</v>
      </c>
      <c r="B21" s="171" t="s">
        <v>30</v>
      </c>
      <c r="C21" s="171"/>
      <c r="D21" s="171"/>
      <c r="E21" s="171"/>
      <c r="F21" s="171"/>
      <c r="G21" s="171"/>
      <c r="H21" s="171"/>
      <c r="I21" s="171"/>
      <c r="J21" s="171"/>
      <c r="K21" s="3" t="s">
        <v>31</v>
      </c>
    </row>
    <row r="22" spans="1:20" ht="17.25" customHeight="1" x14ac:dyDescent="0.25">
      <c r="A22" s="54" t="s">
        <v>32</v>
      </c>
      <c r="B22" s="171" t="s">
        <v>33</v>
      </c>
      <c r="C22" s="171"/>
      <c r="D22" s="171"/>
      <c r="E22" s="171"/>
      <c r="F22" s="171"/>
      <c r="G22" s="171"/>
      <c r="H22" s="171"/>
      <c r="I22" s="171"/>
      <c r="J22" s="171"/>
      <c r="K22" s="9">
        <v>12</v>
      </c>
    </row>
    <row r="23" spans="1:20" ht="6.75" customHeight="1" x14ac:dyDescent="0.25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</row>
    <row r="24" spans="1:20" ht="17.25" customHeight="1" x14ac:dyDescent="0.25">
      <c r="A24" s="172" t="s">
        <v>34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</row>
    <row r="25" spans="1:20" ht="17.25" customHeight="1" x14ac:dyDescent="0.25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53" t="s">
        <v>35</v>
      </c>
    </row>
    <row r="26" spans="1:20" ht="17.25" customHeight="1" x14ac:dyDescent="0.25">
      <c r="A26" s="54" t="s">
        <v>7</v>
      </c>
      <c r="B26" s="170" t="s">
        <v>36</v>
      </c>
      <c r="C26" s="170"/>
      <c r="D26" s="170"/>
      <c r="E26" s="170"/>
      <c r="F26" s="170"/>
      <c r="G26" s="170"/>
      <c r="H26" s="10">
        <v>200</v>
      </c>
      <c r="I26" s="167" t="s">
        <v>37</v>
      </c>
      <c r="J26" s="167"/>
      <c r="K26" s="59">
        <f>K18</f>
        <v>1481.56</v>
      </c>
      <c r="M26" s="173"/>
      <c r="N26" s="173"/>
      <c r="O26" s="173"/>
      <c r="P26" s="173"/>
      <c r="Q26" s="173"/>
      <c r="R26" s="173"/>
      <c r="S26" s="173"/>
      <c r="T26" s="173"/>
    </row>
    <row r="27" spans="1:20" ht="17.25" customHeight="1" x14ac:dyDescent="0.25">
      <c r="A27" s="54" t="s">
        <v>9</v>
      </c>
      <c r="B27" s="170" t="s">
        <v>38</v>
      </c>
      <c r="C27" s="170"/>
      <c r="D27" s="170"/>
      <c r="E27" s="170"/>
      <c r="F27" s="170"/>
      <c r="G27" s="170"/>
      <c r="H27" s="62"/>
      <c r="I27" s="167" t="s">
        <v>39</v>
      </c>
      <c r="J27" s="167"/>
      <c r="K27" s="60">
        <f>H27*K18</f>
        <v>0</v>
      </c>
      <c r="M27" s="11" t="s">
        <v>40</v>
      </c>
      <c r="N27" s="12"/>
      <c r="O27" s="12"/>
      <c r="P27" s="12"/>
      <c r="Q27" s="12"/>
      <c r="R27" s="12"/>
      <c r="S27" s="12"/>
      <c r="T27" s="13"/>
    </row>
    <row r="28" spans="1:20" ht="17.25" customHeight="1" x14ac:dyDescent="0.25">
      <c r="A28" s="54" t="s">
        <v>11</v>
      </c>
      <c r="B28" s="170" t="s">
        <v>41</v>
      </c>
      <c r="C28" s="170"/>
      <c r="D28" s="170"/>
      <c r="E28" s="170"/>
      <c r="F28" s="170"/>
      <c r="G28" s="170"/>
      <c r="H28" s="62"/>
      <c r="I28" s="167" t="s">
        <v>39</v>
      </c>
      <c r="J28" s="167"/>
      <c r="K28" s="60">
        <f>H28*K17</f>
        <v>0</v>
      </c>
      <c r="M28" s="14" t="s">
        <v>40</v>
      </c>
      <c r="N28" s="15"/>
      <c r="O28" s="15"/>
      <c r="P28" s="15"/>
      <c r="Q28" s="15"/>
      <c r="R28" s="15"/>
      <c r="S28" s="15"/>
      <c r="T28" s="16"/>
    </row>
    <row r="29" spans="1:20" ht="17.25" customHeight="1" x14ac:dyDescent="0.25">
      <c r="A29" s="54" t="s">
        <v>14</v>
      </c>
      <c r="B29" s="170" t="s">
        <v>42</v>
      </c>
      <c r="C29" s="170"/>
      <c r="D29" s="170"/>
      <c r="E29" s="170"/>
      <c r="F29" s="170"/>
      <c r="G29" s="170"/>
      <c r="H29" s="62"/>
      <c r="I29" s="167" t="s">
        <v>39</v>
      </c>
      <c r="J29" s="167"/>
      <c r="K29" s="60">
        <f>H29*K26</f>
        <v>0</v>
      </c>
    </row>
    <row r="30" spans="1:20" ht="17.25" customHeight="1" x14ac:dyDescent="0.25">
      <c r="A30" s="54" t="s">
        <v>43</v>
      </c>
      <c r="B30" s="170" t="s">
        <v>44</v>
      </c>
      <c r="C30" s="170"/>
      <c r="D30" s="170"/>
      <c r="E30" s="170"/>
      <c r="F30" s="170"/>
      <c r="G30" s="170"/>
      <c r="H30" s="62"/>
      <c r="I30" s="167" t="s">
        <v>39</v>
      </c>
      <c r="J30" s="167"/>
      <c r="K30" s="60">
        <f>H30*K26</f>
        <v>0</v>
      </c>
    </row>
    <row r="31" spans="1:20" ht="17.25" customHeight="1" x14ac:dyDescent="0.25">
      <c r="A31" s="167" t="s">
        <v>18</v>
      </c>
      <c r="B31" s="170" t="s">
        <v>45</v>
      </c>
      <c r="C31" s="170"/>
      <c r="D31" s="170"/>
      <c r="E31" s="170"/>
      <c r="F31" s="170"/>
      <c r="G31" s="186" t="s">
        <v>46</v>
      </c>
      <c r="H31" s="186" t="s">
        <v>47</v>
      </c>
      <c r="I31" s="186" t="s">
        <v>48</v>
      </c>
      <c r="J31" s="186"/>
      <c r="K31" s="174">
        <f>ROUND(I33*H33,2)</f>
        <v>0</v>
      </c>
      <c r="M31" s="175" t="s">
        <v>144</v>
      </c>
      <c r="N31" s="176"/>
      <c r="O31" s="176"/>
      <c r="P31" s="176"/>
      <c r="Q31" s="176"/>
      <c r="R31" s="176"/>
      <c r="S31" s="176"/>
      <c r="T31" s="177"/>
    </row>
    <row r="32" spans="1:20" ht="22.5" customHeight="1" x14ac:dyDescent="0.25">
      <c r="A32" s="167"/>
      <c r="B32" s="170"/>
      <c r="C32" s="170"/>
      <c r="D32" s="170"/>
      <c r="E32" s="170"/>
      <c r="F32" s="170"/>
      <c r="G32" s="186"/>
      <c r="H32" s="186"/>
      <c r="I32" s="186"/>
      <c r="J32" s="186"/>
      <c r="K32" s="174"/>
      <c r="M32" s="178"/>
      <c r="N32" s="179"/>
      <c r="O32" s="179"/>
      <c r="P32" s="179"/>
      <c r="Q32" s="179"/>
      <c r="R32" s="179"/>
      <c r="S32" s="179"/>
      <c r="T32" s="180"/>
    </row>
    <row r="33" spans="1:20" ht="17.25" customHeight="1" x14ac:dyDescent="0.25">
      <c r="A33" s="167"/>
      <c r="B33" s="170"/>
      <c r="C33" s="170"/>
      <c r="D33" s="170"/>
      <c r="E33" s="170"/>
      <c r="F33" s="170"/>
      <c r="G33" s="62"/>
      <c r="H33" s="10"/>
      <c r="I33" s="184">
        <f>(K26/H26)*(1+G33)</f>
        <v>7.4077999999999999</v>
      </c>
      <c r="J33" s="184"/>
      <c r="K33" s="174"/>
      <c r="M33" s="181"/>
      <c r="N33" s="182"/>
      <c r="O33" s="182"/>
      <c r="P33" s="182"/>
      <c r="Q33" s="182"/>
      <c r="R33" s="182"/>
      <c r="S33" s="182"/>
      <c r="T33" s="183"/>
    </row>
    <row r="34" spans="1:20" ht="17.25" customHeight="1" x14ac:dyDescent="0.25">
      <c r="A34" s="54" t="s">
        <v>21</v>
      </c>
      <c r="B34" s="185" t="s">
        <v>49</v>
      </c>
      <c r="C34" s="185"/>
      <c r="D34" s="185"/>
      <c r="E34" s="185"/>
      <c r="F34" s="185"/>
      <c r="G34" s="185"/>
      <c r="H34" s="185"/>
      <c r="I34" s="185"/>
      <c r="J34" s="185"/>
      <c r="K34" s="59"/>
    </row>
    <row r="35" spans="1:20" ht="17.25" customHeight="1" x14ac:dyDescent="0.25">
      <c r="A35" s="172" t="s">
        <v>50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">
        <f>ROUND(SUM(K26:K34),2)</f>
        <v>1481.56</v>
      </c>
    </row>
    <row r="36" spans="1:20" ht="6.75" customHeight="1" x14ac:dyDescent="0.25">
      <c r="A36" s="165"/>
      <c r="B36" s="165"/>
      <c r="C36" s="165"/>
      <c r="D36" s="165"/>
      <c r="E36" s="165"/>
      <c r="F36" s="165"/>
      <c r="G36" s="165"/>
      <c r="H36" s="165"/>
      <c r="I36" s="165"/>
      <c r="J36" s="165"/>
      <c r="K36" s="165"/>
    </row>
    <row r="37" spans="1:20" ht="17.25" customHeight="1" x14ac:dyDescent="0.25">
      <c r="A37" s="172" t="s">
        <v>51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</row>
    <row r="38" spans="1:20" ht="17.25" customHeight="1" x14ac:dyDescent="0.25">
      <c r="A38" s="189" t="s">
        <v>52</v>
      </c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M38" s="129"/>
    </row>
    <row r="39" spans="1:20" s="130" customFormat="1" ht="17.25" customHeight="1" x14ac:dyDescent="0.25">
      <c r="A39" s="191"/>
      <c r="B39" s="191"/>
      <c r="C39" s="191"/>
      <c r="D39" s="191"/>
      <c r="E39" s="191"/>
      <c r="F39" s="191"/>
      <c r="G39" s="191"/>
      <c r="H39" s="191"/>
      <c r="I39" s="172" t="s">
        <v>53</v>
      </c>
      <c r="J39" s="172"/>
      <c r="K39" s="53" t="s">
        <v>35</v>
      </c>
      <c r="M39" s="127"/>
      <c r="N39" s="127"/>
      <c r="O39" s="127"/>
      <c r="P39" s="127"/>
      <c r="Q39" s="127"/>
      <c r="R39" s="127"/>
      <c r="S39" s="127"/>
      <c r="T39" s="127"/>
    </row>
    <row r="40" spans="1:20" ht="17.25" customHeight="1" x14ac:dyDescent="0.25">
      <c r="A40" s="54" t="s">
        <v>7</v>
      </c>
      <c r="B40" s="171" t="s">
        <v>54</v>
      </c>
      <c r="C40" s="171"/>
      <c r="D40" s="171"/>
      <c r="E40" s="171"/>
      <c r="F40" s="171"/>
      <c r="G40" s="171"/>
      <c r="H40" s="171"/>
      <c r="I40" s="187">
        <f>ROUND(1/12,4)</f>
        <v>8.3299999999999999E-2</v>
      </c>
      <c r="J40" s="187"/>
      <c r="K40" s="52">
        <f>ROUND(I40*$K$35,2)</f>
        <v>123.41</v>
      </c>
      <c r="M40" s="175" t="s">
        <v>55</v>
      </c>
      <c r="N40" s="176"/>
      <c r="O40" s="176"/>
      <c r="P40" s="176"/>
      <c r="Q40" s="176"/>
      <c r="R40" s="176"/>
      <c r="S40" s="176"/>
      <c r="T40" s="177"/>
    </row>
    <row r="41" spans="1:20" ht="17.25" customHeight="1" x14ac:dyDescent="0.25">
      <c r="A41" s="54" t="s">
        <v>9</v>
      </c>
      <c r="B41" s="170" t="s">
        <v>56</v>
      </c>
      <c r="C41" s="170"/>
      <c r="D41" s="170"/>
      <c r="E41" s="170"/>
      <c r="F41" s="170"/>
      <c r="G41" s="170"/>
      <c r="H41" s="170"/>
      <c r="I41" s="187">
        <f>ROUND(1/3/12,4)</f>
        <v>2.7799999999999998E-2</v>
      </c>
      <c r="J41" s="187"/>
      <c r="K41" s="52">
        <f>ROUND(I41*$K$35,2)</f>
        <v>41.19</v>
      </c>
      <c r="M41" s="178"/>
      <c r="N41" s="179"/>
      <c r="O41" s="179"/>
      <c r="P41" s="179"/>
      <c r="Q41" s="179"/>
      <c r="R41" s="179"/>
      <c r="S41" s="179"/>
      <c r="T41" s="180"/>
    </row>
    <row r="42" spans="1:20" ht="17.25" customHeight="1" x14ac:dyDescent="0.25">
      <c r="A42" s="18" t="s">
        <v>11</v>
      </c>
      <c r="B42" s="188" t="s">
        <v>57</v>
      </c>
      <c r="C42" s="188"/>
      <c r="D42" s="188"/>
      <c r="E42" s="188"/>
      <c r="F42" s="188"/>
      <c r="G42" s="188"/>
      <c r="H42" s="188"/>
      <c r="I42" s="187">
        <f>ROUND(1/12,4)</f>
        <v>8.3299999999999999E-2</v>
      </c>
      <c r="J42" s="187"/>
      <c r="K42" s="52">
        <f>ROUND(I42*$K$35,2)</f>
        <v>123.41</v>
      </c>
      <c r="M42" s="181"/>
      <c r="N42" s="182"/>
      <c r="O42" s="182"/>
      <c r="P42" s="182"/>
      <c r="Q42" s="182"/>
      <c r="R42" s="182"/>
      <c r="S42" s="182"/>
      <c r="T42" s="183"/>
    </row>
    <row r="43" spans="1:20" ht="17.25" customHeight="1" x14ac:dyDescent="0.25">
      <c r="A43" s="189" t="s">
        <v>58</v>
      </c>
      <c r="B43" s="189"/>
      <c r="C43" s="189"/>
      <c r="D43" s="189"/>
      <c r="E43" s="189"/>
      <c r="F43" s="189"/>
      <c r="G43" s="189"/>
      <c r="H43" s="189"/>
      <c r="I43" s="190">
        <f>SUM(I40:J42)</f>
        <v>0.19440000000000002</v>
      </c>
      <c r="J43" s="190"/>
      <c r="K43" s="19">
        <f>ROUND(SUM(K40:K42),2)</f>
        <v>288.01</v>
      </c>
    </row>
    <row r="44" spans="1:20" ht="6.75" customHeight="1" x14ac:dyDescent="0.25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</row>
    <row r="45" spans="1:20" ht="17.25" customHeight="1" x14ac:dyDescent="0.25">
      <c r="A45" s="189" t="s">
        <v>59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20" ht="17.25" customHeight="1" x14ac:dyDescent="0.25">
      <c r="A46" s="193" t="s">
        <v>60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">
        <f>K35</f>
        <v>1481.56</v>
      </c>
    </row>
    <row r="47" spans="1:20" ht="17.25" customHeight="1" x14ac:dyDescent="0.25">
      <c r="A47" s="194" t="s">
        <v>61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">
        <f>K43</f>
        <v>288.01</v>
      </c>
    </row>
    <row r="48" spans="1:20" ht="17.25" customHeight="1" x14ac:dyDescent="0.25">
      <c r="A48" s="194" t="s">
        <v>62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">
        <f>SUM(K46:K47)</f>
        <v>1769.57</v>
      </c>
    </row>
    <row r="49" spans="1:20" s="130" customFormat="1" ht="17.25" customHeight="1" x14ac:dyDescent="0.25">
      <c r="A49" s="191"/>
      <c r="B49" s="191"/>
      <c r="C49" s="191"/>
      <c r="D49" s="191"/>
      <c r="E49" s="191"/>
      <c r="F49" s="191"/>
      <c r="G49" s="191"/>
      <c r="H49" s="191"/>
      <c r="I49" s="172" t="s">
        <v>53</v>
      </c>
      <c r="J49" s="172"/>
      <c r="K49" s="53" t="s">
        <v>35</v>
      </c>
      <c r="M49" s="131"/>
      <c r="N49" s="131"/>
      <c r="O49" s="131"/>
      <c r="P49" s="131"/>
      <c r="Q49" s="131"/>
      <c r="R49" s="131"/>
      <c r="S49" s="127"/>
      <c r="T49" s="127"/>
    </row>
    <row r="50" spans="1:20" ht="17.25" customHeight="1" x14ac:dyDescent="0.25">
      <c r="A50" s="54" t="s">
        <v>7</v>
      </c>
      <c r="B50" s="171" t="s">
        <v>63</v>
      </c>
      <c r="C50" s="171"/>
      <c r="D50" s="171"/>
      <c r="E50" s="171"/>
      <c r="F50" s="171"/>
      <c r="G50" s="171"/>
      <c r="H50" s="171"/>
      <c r="I50" s="192">
        <v>0.2</v>
      </c>
      <c r="J50" s="192"/>
      <c r="K50" s="52">
        <f>ROUND(I50*$K$48,2)</f>
        <v>353.91</v>
      </c>
    </row>
    <row r="51" spans="1:20" ht="17.25" customHeight="1" x14ac:dyDescent="0.25">
      <c r="A51" s="54" t="s">
        <v>9</v>
      </c>
      <c r="B51" s="171" t="s">
        <v>64</v>
      </c>
      <c r="C51" s="171"/>
      <c r="D51" s="171"/>
      <c r="E51" s="171"/>
      <c r="F51" s="171"/>
      <c r="G51" s="171"/>
      <c r="H51" s="171"/>
      <c r="I51" s="192">
        <v>2.5000000000000001E-2</v>
      </c>
      <c r="J51" s="192"/>
      <c r="K51" s="52">
        <f t="shared" ref="K51:K57" si="0">ROUND(I51*$K$48,2)</f>
        <v>44.24</v>
      </c>
    </row>
    <row r="52" spans="1:20" ht="17.25" customHeight="1" x14ac:dyDescent="0.25">
      <c r="A52" s="167" t="s">
        <v>11</v>
      </c>
      <c r="B52" s="170" t="s">
        <v>65</v>
      </c>
      <c r="C52" s="170"/>
      <c r="D52" s="170"/>
      <c r="E52" s="170"/>
      <c r="F52" s="170"/>
      <c r="G52" s="20" t="s">
        <v>66</v>
      </c>
      <c r="H52" s="20" t="s">
        <v>67</v>
      </c>
      <c r="I52" s="187">
        <f>(G53*H53)*100</f>
        <v>0.03</v>
      </c>
      <c r="J52" s="187"/>
      <c r="K52" s="202">
        <f t="shared" si="0"/>
        <v>53.09</v>
      </c>
      <c r="M52" s="203" t="s">
        <v>68</v>
      </c>
      <c r="N52" s="204"/>
      <c r="O52" s="204"/>
      <c r="P52" s="204"/>
      <c r="Q52" s="204"/>
      <c r="R52" s="204"/>
      <c r="S52" s="204"/>
      <c r="T52" s="205"/>
    </row>
    <row r="53" spans="1:20" ht="17.25" customHeight="1" x14ac:dyDescent="0.25">
      <c r="A53" s="167"/>
      <c r="B53" s="170"/>
      <c r="C53" s="170"/>
      <c r="D53" s="170"/>
      <c r="E53" s="170"/>
      <c r="F53" s="170"/>
      <c r="G53" s="57">
        <v>0.03</v>
      </c>
      <c r="H53" s="57">
        <v>0.01</v>
      </c>
      <c r="I53" s="187"/>
      <c r="J53" s="187"/>
      <c r="K53" s="202"/>
      <c r="M53" s="206"/>
      <c r="N53" s="207"/>
      <c r="O53" s="207"/>
      <c r="P53" s="207"/>
      <c r="Q53" s="207"/>
      <c r="R53" s="207"/>
      <c r="S53" s="207"/>
      <c r="T53" s="208"/>
    </row>
    <row r="54" spans="1:20" ht="17.25" customHeight="1" x14ac:dyDescent="0.25">
      <c r="A54" s="54" t="s">
        <v>14</v>
      </c>
      <c r="B54" s="171" t="s">
        <v>69</v>
      </c>
      <c r="C54" s="171"/>
      <c r="D54" s="171"/>
      <c r="E54" s="171"/>
      <c r="F54" s="171"/>
      <c r="G54" s="171"/>
      <c r="H54" s="171"/>
      <c r="I54" s="192">
        <v>1.4999999999999999E-2</v>
      </c>
      <c r="J54" s="192"/>
      <c r="K54" s="52">
        <f t="shared" si="0"/>
        <v>26.54</v>
      </c>
    </row>
    <row r="55" spans="1:20" ht="17.25" customHeight="1" x14ac:dyDescent="0.25">
      <c r="A55" s="54" t="s">
        <v>16</v>
      </c>
      <c r="B55" s="171" t="s">
        <v>70</v>
      </c>
      <c r="C55" s="171"/>
      <c r="D55" s="171"/>
      <c r="E55" s="171"/>
      <c r="F55" s="171"/>
      <c r="G55" s="171"/>
      <c r="H55" s="171"/>
      <c r="I55" s="192">
        <v>0.01</v>
      </c>
      <c r="J55" s="192"/>
      <c r="K55" s="52">
        <f t="shared" si="0"/>
        <v>17.7</v>
      </c>
    </row>
    <row r="56" spans="1:20" ht="17.25" customHeight="1" x14ac:dyDescent="0.25">
      <c r="A56" s="54" t="s">
        <v>18</v>
      </c>
      <c r="B56" s="171" t="s">
        <v>71</v>
      </c>
      <c r="C56" s="171"/>
      <c r="D56" s="171"/>
      <c r="E56" s="171"/>
      <c r="F56" s="171"/>
      <c r="G56" s="171"/>
      <c r="H56" s="171"/>
      <c r="I56" s="192">
        <v>6.0000000000000001E-3</v>
      </c>
      <c r="J56" s="192"/>
      <c r="K56" s="52">
        <f t="shared" si="0"/>
        <v>10.62</v>
      </c>
    </row>
    <row r="57" spans="1:20" ht="17.25" customHeight="1" x14ac:dyDescent="0.25">
      <c r="A57" s="54" t="s">
        <v>21</v>
      </c>
      <c r="B57" s="171" t="s">
        <v>72</v>
      </c>
      <c r="C57" s="171"/>
      <c r="D57" s="171"/>
      <c r="E57" s="171"/>
      <c r="F57" s="171"/>
      <c r="G57" s="171"/>
      <c r="H57" s="171"/>
      <c r="I57" s="192">
        <v>2E-3</v>
      </c>
      <c r="J57" s="192"/>
      <c r="K57" s="52">
        <f t="shared" si="0"/>
        <v>3.54</v>
      </c>
    </row>
    <row r="58" spans="1:20" ht="17.25" customHeight="1" x14ac:dyDescent="0.25">
      <c r="A58" s="54" t="s">
        <v>23</v>
      </c>
      <c r="B58" s="171" t="s">
        <v>73</v>
      </c>
      <c r="C58" s="171"/>
      <c r="D58" s="171"/>
      <c r="E58" s="171"/>
      <c r="F58" s="171"/>
      <c r="G58" s="171"/>
      <c r="H58" s="171"/>
      <c r="I58" s="192">
        <v>0.08</v>
      </c>
      <c r="J58" s="192"/>
      <c r="K58" s="52">
        <f>ROUND(I58*$K$48,2)</f>
        <v>141.57</v>
      </c>
    </row>
    <row r="59" spans="1:20" ht="17.25" customHeight="1" x14ac:dyDescent="0.25">
      <c r="A59" s="189" t="s">
        <v>74</v>
      </c>
      <c r="B59" s="189"/>
      <c r="C59" s="189"/>
      <c r="D59" s="189"/>
      <c r="E59" s="189"/>
      <c r="F59" s="189"/>
      <c r="G59" s="189"/>
      <c r="H59" s="189"/>
      <c r="I59" s="190">
        <f>SUM(I50:J58)</f>
        <v>0.36800000000000005</v>
      </c>
      <c r="J59" s="190"/>
      <c r="K59" s="19">
        <f>ROUND(SUM(K50:K58),2)</f>
        <v>651.21</v>
      </c>
    </row>
    <row r="60" spans="1:20" ht="5.25" customHeight="1" x14ac:dyDescent="0.25">
      <c r="A60" s="212"/>
      <c r="B60" s="212"/>
      <c r="C60" s="212"/>
      <c r="D60" s="212"/>
      <c r="E60" s="212"/>
      <c r="F60" s="212"/>
      <c r="G60" s="212"/>
      <c r="H60" s="212"/>
      <c r="I60" s="212"/>
      <c r="J60" s="212"/>
      <c r="K60" s="212"/>
    </row>
    <row r="61" spans="1:20" ht="17.25" customHeight="1" x14ac:dyDescent="0.25">
      <c r="A61" s="189" t="s">
        <v>75</v>
      </c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M61" s="195" t="s">
        <v>76</v>
      </c>
      <c r="N61" s="196"/>
      <c r="O61" s="196"/>
      <c r="P61" s="196"/>
      <c r="Q61" s="196"/>
      <c r="R61" s="196"/>
      <c r="S61" s="196"/>
      <c r="T61" s="197"/>
    </row>
    <row r="62" spans="1:20" ht="17.25" customHeight="1" x14ac:dyDescent="0.25">
      <c r="A62" s="201"/>
      <c r="B62" s="201"/>
      <c r="C62" s="201"/>
      <c r="D62" s="201"/>
      <c r="E62" s="201"/>
      <c r="F62" s="201"/>
      <c r="G62" s="201"/>
      <c r="H62" s="201"/>
      <c r="I62" s="201"/>
      <c r="J62" s="201"/>
      <c r="K62" s="53" t="s">
        <v>35</v>
      </c>
      <c r="M62" s="198"/>
      <c r="N62" s="199"/>
      <c r="O62" s="199"/>
      <c r="P62" s="199"/>
      <c r="Q62" s="199"/>
      <c r="R62" s="199"/>
      <c r="S62" s="199"/>
      <c r="T62" s="200"/>
    </row>
    <row r="63" spans="1:20" ht="17.25" customHeight="1" x14ac:dyDescent="0.25">
      <c r="A63" s="167" t="s">
        <v>7</v>
      </c>
      <c r="B63" s="209" t="s">
        <v>77</v>
      </c>
      <c r="C63" s="209"/>
      <c r="D63" s="209"/>
      <c r="E63" s="209"/>
      <c r="F63" s="209"/>
      <c r="G63" s="210"/>
      <c r="H63" s="210"/>
      <c r="I63" s="210"/>
      <c r="J63" s="210"/>
      <c r="K63" s="202">
        <f>ROUND((B65*E65*F65)-G65,2)</f>
        <v>111.31</v>
      </c>
    </row>
    <row r="64" spans="1:20" ht="17.25" customHeight="1" x14ac:dyDescent="0.25">
      <c r="A64" s="167"/>
      <c r="B64" s="164" t="s">
        <v>78</v>
      </c>
      <c r="C64" s="164"/>
      <c r="D64" s="164"/>
      <c r="E64" s="54" t="s">
        <v>79</v>
      </c>
      <c r="F64" s="61" t="s">
        <v>80</v>
      </c>
      <c r="G64" s="164" t="s">
        <v>81</v>
      </c>
      <c r="H64" s="164"/>
      <c r="I64" s="164"/>
      <c r="J64" s="164"/>
      <c r="K64" s="202"/>
    </row>
    <row r="65" spans="1:20" ht="17.25" customHeight="1" x14ac:dyDescent="0.25">
      <c r="A65" s="167"/>
      <c r="B65" s="211">
        <v>2</v>
      </c>
      <c r="C65" s="211"/>
      <c r="D65" s="211"/>
      <c r="E65" s="4">
        <v>22</v>
      </c>
      <c r="F65" s="59">
        <v>4.55</v>
      </c>
      <c r="G65" s="202">
        <f>0.06*K26</f>
        <v>88.893599999999992</v>
      </c>
      <c r="H65" s="202"/>
      <c r="I65" s="202"/>
      <c r="J65" s="202"/>
      <c r="K65" s="202"/>
    </row>
    <row r="66" spans="1:20" ht="17.25" customHeight="1" x14ac:dyDescent="0.25">
      <c r="A66" s="213" t="s">
        <v>9</v>
      </c>
      <c r="B66" s="214" t="s">
        <v>243</v>
      </c>
      <c r="C66" s="214"/>
      <c r="D66" s="214"/>
      <c r="E66" s="214"/>
      <c r="F66" s="214"/>
      <c r="G66" s="215"/>
      <c r="H66" s="215"/>
      <c r="I66" s="215"/>
      <c r="J66" s="215"/>
      <c r="K66" s="216">
        <f>(B68-G68)*E68</f>
        <v>390.28000000000003</v>
      </c>
    </row>
    <row r="67" spans="1:20" ht="17.25" customHeight="1" x14ac:dyDescent="0.25">
      <c r="A67" s="213"/>
      <c r="B67" s="164" t="s">
        <v>89</v>
      </c>
      <c r="C67" s="164"/>
      <c r="D67" s="164"/>
      <c r="E67" s="219" t="s">
        <v>79</v>
      </c>
      <c r="F67" s="220"/>
      <c r="G67" s="164" t="s">
        <v>81</v>
      </c>
      <c r="H67" s="164"/>
      <c r="I67" s="164"/>
      <c r="J67" s="164"/>
      <c r="K67" s="217"/>
    </row>
    <row r="68" spans="1:20" ht="17.25" customHeight="1" x14ac:dyDescent="0.25">
      <c r="A68" s="213"/>
      <c r="B68" s="221">
        <v>19.010000000000002</v>
      </c>
      <c r="C68" s="221"/>
      <c r="D68" s="221"/>
      <c r="E68" s="222">
        <f>E65</f>
        <v>22</v>
      </c>
      <c r="F68" s="223"/>
      <c r="G68" s="202">
        <v>1.27</v>
      </c>
      <c r="H68" s="202"/>
      <c r="I68" s="202"/>
      <c r="J68" s="202"/>
      <c r="K68" s="218"/>
    </row>
    <row r="69" spans="1:20" ht="17.25" customHeight="1" x14ac:dyDescent="0.25">
      <c r="A69" s="213" t="s">
        <v>11</v>
      </c>
      <c r="B69" s="214" t="s">
        <v>83</v>
      </c>
      <c r="C69" s="214"/>
      <c r="D69" s="214"/>
      <c r="E69" s="214"/>
      <c r="F69" s="214"/>
      <c r="G69" s="215"/>
      <c r="H69" s="215"/>
      <c r="I69" s="215"/>
      <c r="J69" s="215"/>
      <c r="K69" s="227">
        <f>B71-G71</f>
        <v>132.49</v>
      </c>
      <c r="M69" s="21"/>
      <c r="N69" s="21"/>
      <c r="O69" s="21"/>
      <c r="P69" s="21"/>
      <c r="Q69" s="21"/>
      <c r="R69" s="21"/>
      <c r="S69" s="21"/>
      <c r="T69" s="21"/>
    </row>
    <row r="70" spans="1:20" ht="17.25" customHeight="1" x14ac:dyDescent="0.25">
      <c r="A70" s="213"/>
      <c r="B70" s="213" t="s">
        <v>82</v>
      </c>
      <c r="C70" s="213"/>
      <c r="D70" s="213"/>
      <c r="E70" s="213"/>
      <c r="F70" s="213"/>
      <c r="G70" s="213" t="s">
        <v>84</v>
      </c>
      <c r="H70" s="213"/>
      <c r="I70" s="213"/>
      <c r="J70" s="213"/>
      <c r="K70" s="228"/>
      <c r="M70" s="21"/>
      <c r="N70" s="21"/>
      <c r="O70" s="21"/>
      <c r="P70" s="21"/>
      <c r="Q70" s="21"/>
      <c r="R70" s="21"/>
      <c r="S70" s="21"/>
      <c r="T70" s="21"/>
    </row>
    <row r="71" spans="1:20" ht="17.25" customHeight="1" x14ac:dyDescent="0.25">
      <c r="A71" s="213"/>
      <c r="B71" s="230">
        <v>132.49</v>
      </c>
      <c r="C71" s="230"/>
      <c r="D71" s="230"/>
      <c r="E71" s="230"/>
      <c r="F71" s="230"/>
      <c r="G71" s="231">
        <v>0</v>
      </c>
      <c r="H71" s="231"/>
      <c r="I71" s="231"/>
      <c r="J71" s="231"/>
      <c r="K71" s="229"/>
      <c r="M71" s="21"/>
      <c r="N71" s="21"/>
      <c r="O71" s="21"/>
      <c r="P71" s="21"/>
      <c r="Q71" s="21"/>
      <c r="R71" s="21"/>
      <c r="S71" s="21"/>
      <c r="T71" s="21"/>
    </row>
    <row r="72" spans="1:20" ht="17.25" customHeight="1" x14ac:dyDescent="0.25">
      <c r="A72" s="213" t="s">
        <v>14</v>
      </c>
      <c r="B72" s="214" t="s">
        <v>85</v>
      </c>
      <c r="C72" s="214"/>
      <c r="D72" s="214"/>
      <c r="E72" s="214"/>
      <c r="F72" s="214"/>
      <c r="G72" s="215"/>
      <c r="H72" s="215"/>
      <c r="I72" s="215"/>
      <c r="J72" s="215"/>
      <c r="K72" s="224">
        <f>B74-G74</f>
        <v>32.049999999999997</v>
      </c>
      <c r="M72" s="21"/>
      <c r="N72" s="21"/>
      <c r="O72" s="21"/>
      <c r="P72" s="21"/>
      <c r="Q72" s="21"/>
      <c r="R72" s="21"/>
      <c r="S72" s="21"/>
      <c r="T72" s="21"/>
    </row>
    <row r="73" spans="1:20" ht="17.25" customHeight="1" x14ac:dyDescent="0.25">
      <c r="A73" s="213"/>
      <c r="B73" s="213" t="s">
        <v>86</v>
      </c>
      <c r="C73" s="213"/>
      <c r="D73" s="213"/>
      <c r="E73" s="213"/>
      <c r="F73" s="213"/>
      <c r="G73" s="213" t="s">
        <v>84</v>
      </c>
      <c r="H73" s="213"/>
      <c r="I73" s="213"/>
      <c r="J73" s="213"/>
      <c r="K73" s="224"/>
      <c r="M73" s="21"/>
      <c r="N73" s="21"/>
      <c r="O73" s="21"/>
      <c r="P73" s="21"/>
      <c r="Q73" s="21"/>
      <c r="R73" s="21"/>
      <c r="S73" s="21"/>
      <c r="T73" s="21"/>
    </row>
    <row r="74" spans="1:20" ht="17.25" customHeight="1" x14ac:dyDescent="0.25">
      <c r="A74" s="213"/>
      <c r="B74" s="225">
        <v>32.049999999999997</v>
      </c>
      <c r="C74" s="225"/>
      <c r="D74" s="225"/>
      <c r="E74" s="225"/>
      <c r="F74" s="225"/>
      <c r="G74" s="226">
        <v>0</v>
      </c>
      <c r="H74" s="226"/>
      <c r="I74" s="226"/>
      <c r="J74" s="226"/>
      <c r="K74" s="224"/>
      <c r="M74" s="21"/>
      <c r="N74" s="21"/>
      <c r="O74" s="21"/>
      <c r="P74" s="21"/>
      <c r="Q74" s="21"/>
      <c r="R74" s="21"/>
      <c r="S74" s="21"/>
      <c r="T74" s="21"/>
    </row>
    <row r="75" spans="1:20" ht="17.25" customHeight="1" x14ac:dyDescent="0.25">
      <c r="A75" s="213" t="s">
        <v>16</v>
      </c>
      <c r="B75" s="214" t="s">
        <v>87</v>
      </c>
      <c r="C75" s="214"/>
      <c r="D75" s="214"/>
      <c r="E75" s="214"/>
      <c r="F75" s="214"/>
      <c r="G75" s="215"/>
      <c r="H75" s="215"/>
      <c r="I75" s="215"/>
      <c r="J75" s="215"/>
      <c r="K75" s="224">
        <f>F77*G77</f>
        <v>0.23760000000000003</v>
      </c>
      <c r="M75" s="232" t="s">
        <v>208</v>
      </c>
      <c r="N75" s="232"/>
      <c r="O75" s="232"/>
      <c r="P75" s="232"/>
      <c r="Q75" s="232"/>
      <c r="R75" s="232"/>
      <c r="S75" s="232"/>
      <c r="T75" s="232"/>
    </row>
    <row r="76" spans="1:20" ht="17.25" customHeight="1" x14ac:dyDescent="0.25">
      <c r="A76" s="213"/>
      <c r="B76" s="213" t="s">
        <v>88</v>
      </c>
      <c r="C76" s="213"/>
      <c r="D76" s="213"/>
      <c r="E76" s="213"/>
      <c r="F76" s="50" t="s">
        <v>89</v>
      </c>
      <c r="G76" s="233" t="s">
        <v>90</v>
      </c>
      <c r="H76" s="233"/>
      <c r="I76" s="233"/>
      <c r="J76" s="233"/>
      <c r="K76" s="224"/>
      <c r="M76" s="232"/>
      <c r="N76" s="232"/>
      <c r="O76" s="232"/>
      <c r="P76" s="232"/>
      <c r="Q76" s="232"/>
      <c r="R76" s="232"/>
      <c r="S76" s="232"/>
      <c r="T76" s="232"/>
    </row>
    <row r="77" spans="1:20" ht="17.25" customHeight="1" x14ac:dyDescent="0.25">
      <c r="A77" s="213"/>
      <c r="B77" s="234">
        <f>K17</f>
        <v>1320</v>
      </c>
      <c r="C77" s="234"/>
      <c r="D77" s="234"/>
      <c r="E77" s="234"/>
      <c r="F77" s="51">
        <f>B77*0.3</f>
        <v>396</v>
      </c>
      <c r="G77" s="235">
        <v>6.0000000000000006E-4</v>
      </c>
      <c r="H77" s="235"/>
      <c r="I77" s="235"/>
      <c r="J77" s="235"/>
      <c r="K77" s="224"/>
      <c r="M77" s="232"/>
      <c r="N77" s="232"/>
      <c r="O77" s="232"/>
      <c r="P77" s="232"/>
      <c r="Q77" s="232"/>
      <c r="R77" s="232"/>
      <c r="S77" s="232"/>
      <c r="T77" s="232"/>
    </row>
    <row r="78" spans="1:20" ht="17.25" customHeight="1" x14ac:dyDescent="0.25">
      <c r="A78" s="213" t="s">
        <v>18</v>
      </c>
      <c r="B78" s="214" t="s">
        <v>294</v>
      </c>
      <c r="C78" s="214"/>
      <c r="D78" s="214"/>
      <c r="E78" s="214"/>
      <c r="F78" s="214"/>
      <c r="G78" s="215"/>
      <c r="H78" s="215"/>
      <c r="I78" s="215"/>
      <c r="J78" s="215"/>
      <c r="K78" s="224">
        <f>B80-G80</f>
        <v>14.62</v>
      </c>
      <c r="M78" s="21"/>
      <c r="N78" s="21"/>
      <c r="O78" s="21"/>
      <c r="P78" s="21"/>
      <c r="Q78" s="21"/>
      <c r="R78" s="21"/>
      <c r="S78" s="21"/>
      <c r="T78" s="21"/>
    </row>
    <row r="79" spans="1:20" ht="17.25" customHeight="1" x14ac:dyDescent="0.25">
      <c r="A79" s="213"/>
      <c r="B79" s="213" t="s">
        <v>86</v>
      </c>
      <c r="C79" s="213"/>
      <c r="D79" s="213"/>
      <c r="E79" s="213"/>
      <c r="F79" s="213"/>
      <c r="G79" s="213" t="s">
        <v>84</v>
      </c>
      <c r="H79" s="213"/>
      <c r="I79" s="213"/>
      <c r="J79" s="213"/>
      <c r="K79" s="224"/>
      <c r="M79" s="21"/>
      <c r="N79" s="21"/>
      <c r="O79" s="21"/>
      <c r="P79" s="21"/>
      <c r="Q79" s="21"/>
      <c r="R79" s="21"/>
      <c r="S79" s="21"/>
      <c r="T79" s="21"/>
    </row>
    <row r="80" spans="1:20" ht="17.25" customHeight="1" x14ac:dyDescent="0.25">
      <c r="A80" s="213"/>
      <c r="B80" s="225">
        <v>14.62</v>
      </c>
      <c r="C80" s="225"/>
      <c r="D80" s="225"/>
      <c r="E80" s="225"/>
      <c r="F80" s="225"/>
      <c r="G80" s="226">
        <v>0</v>
      </c>
      <c r="H80" s="226"/>
      <c r="I80" s="226"/>
      <c r="J80" s="226"/>
      <c r="K80" s="224"/>
      <c r="M80" s="21"/>
      <c r="N80" s="21"/>
      <c r="O80" s="21"/>
      <c r="P80" s="21"/>
      <c r="Q80" s="21"/>
      <c r="R80" s="21"/>
      <c r="S80" s="21"/>
      <c r="T80" s="21"/>
    </row>
    <row r="81" spans="1:20" ht="17.25" customHeight="1" x14ac:dyDescent="0.25">
      <c r="A81" s="54" t="s">
        <v>23</v>
      </c>
      <c r="B81" s="236" t="s">
        <v>91</v>
      </c>
      <c r="C81" s="236"/>
      <c r="D81" s="236"/>
      <c r="E81" s="236"/>
      <c r="F81" s="236"/>
      <c r="G81" s="236"/>
      <c r="H81" s="236"/>
      <c r="I81" s="236"/>
      <c r="J81" s="236"/>
      <c r="K81" s="59"/>
    </row>
    <row r="82" spans="1:20" ht="17.25" customHeight="1" x14ac:dyDescent="0.25">
      <c r="A82" s="189" t="s">
        <v>92</v>
      </c>
      <c r="B82" s="189"/>
      <c r="C82" s="189"/>
      <c r="D82" s="189"/>
      <c r="E82" s="189"/>
      <c r="F82" s="189"/>
      <c r="G82" s="189"/>
      <c r="H82" s="189"/>
      <c r="I82" s="189"/>
      <c r="J82" s="189"/>
      <c r="K82" s="19">
        <f>ROUND(SUM(K62:K81),2)</f>
        <v>680.99</v>
      </c>
    </row>
    <row r="83" spans="1:20" ht="17.25" customHeight="1" x14ac:dyDescent="0.25">
      <c r="A83" s="172" t="s">
        <v>93</v>
      </c>
      <c r="B83" s="172"/>
      <c r="C83" s="172"/>
      <c r="D83" s="172"/>
      <c r="E83" s="172"/>
      <c r="F83" s="172"/>
      <c r="G83" s="172"/>
      <c r="H83" s="172"/>
      <c r="I83" s="172"/>
      <c r="J83" s="172"/>
      <c r="K83" s="17">
        <f>ROUND(SUM(K82,K59,K43),2)</f>
        <v>1620.21</v>
      </c>
    </row>
    <row r="84" spans="1:20" ht="6.75" customHeight="1" x14ac:dyDescent="0.25">
      <c r="A84" s="165"/>
      <c r="B84" s="165"/>
      <c r="C84" s="165"/>
      <c r="D84" s="165"/>
      <c r="E84" s="165"/>
      <c r="F84" s="165"/>
      <c r="G84" s="165"/>
      <c r="H84" s="165"/>
      <c r="I84" s="165"/>
      <c r="J84" s="165"/>
      <c r="K84" s="165"/>
    </row>
    <row r="85" spans="1:20" ht="17.25" customHeight="1" x14ac:dyDescent="0.25">
      <c r="A85" s="240" t="s">
        <v>94</v>
      </c>
      <c r="B85" s="240"/>
      <c r="C85" s="240"/>
      <c r="D85" s="240"/>
      <c r="E85" s="240"/>
      <c r="F85" s="240"/>
      <c r="G85" s="240"/>
      <c r="H85" s="240"/>
      <c r="I85" s="240"/>
      <c r="J85" s="240"/>
      <c r="K85" s="240"/>
      <c r="M85" s="179"/>
      <c r="N85" s="179"/>
      <c r="O85" s="179"/>
      <c r="P85" s="179"/>
      <c r="Q85" s="179"/>
      <c r="R85" s="179"/>
      <c r="S85" s="179"/>
      <c r="T85" s="179"/>
    </row>
    <row r="86" spans="1:20" ht="17.25" customHeight="1" x14ac:dyDescent="0.25">
      <c r="A86" s="189" t="s">
        <v>95</v>
      </c>
      <c r="B86" s="189"/>
      <c r="C86" s="189"/>
      <c r="D86" s="189"/>
      <c r="E86" s="189"/>
      <c r="F86" s="189"/>
      <c r="G86" s="189"/>
      <c r="H86" s="189"/>
      <c r="I86" s="189"/>
      <c r="J86" s="189"/>
      <c r="K86" s="189"/>
      <c r="M86" s="179"/>
      <c r="N86" s="179"/>
      <c r="O86" s="179"/>
      <c r="P86" s="179"/>
      <c r="Q86" s="179"/>
      <c r="R86" s="179"/>
      <c r="S86" s="179"/>
      <c r="T86" s="179"/>
    </row>
    <row r="87" spans="1:20" ht="17.25" customHeight="1" x14ac:dyDescent="0.25">
      <c r="A87" s="237" t="s">
        <v>60</v>
      </c>
      <c r="B87" s="237"/>
      <c r="C87" s="237"/>
      <c r="D87" s="237"/>
      <c r="E87" s="237"/>
      <c r="F87" s="237"/>
      <c r="G87" s="237"/>
      <c r="H87" s="237"/>
      <c r="I87" s="237"/>
      <c r="J87" s="237"/>
      <c r="K87" s="22">
        <f>K35</f>
        <v>1481.56</v>
      </c>
      <c r="M87" s="179"/>
      <c r="N87" s="179"/>
      <c r="O87" s="179"/>
      <c r="P87" s="179"/>
      <c r="Q87" s="179"/>
      <c r="R87" s="179"/>
      <c r="S87" s="179"/>
      <c r="T87" s="179"/>
    </row>
    <row r="88" spans="1:20" ht="17.25" customHeight="1" x14ac:dyDescent="0.25">
      <c r="A88" s="237" t="s">
        <v>96</v>
      </c>
      <c r="B88" s="237"/>
      <c r="C88" s="237"/>
      <c r="D88" s="237"/>
      <c r="E88" s="237"/>
      <c r="F88" s="237"/>
      <c r="G88" s="237"/>
      <c r="H88" s="237"/>
      <c r="I88" s="237"/>
      <c r="J88" s="237"/>
      <c r="K88" s="22">
        <f>K43</f>
        <v>288.01</v>
      </c>
      <c r="M88" s="179"/>
      <c r="N88" s="179"/>
      <c r="O88" s="179"/>
      <c r="P88" s="179"/>
      <c r="Q88" s="179"/>
      <c r="R88" s="179"/>
      <c r="S88" s="179"/>
      <c r="T88" s="179"/>
    </row>
    <row r="89" spans="1:20" ht="17.25" customHeight="1" x14ac:dyDescent="0.25">
      <c r="A89" s="237" t="s">
        <v>145</v>
      </c>
      <c r="B89" s="237"/>
      <c r="C89" s="237"/>
      <c r="D89" s="237"/>
      <c r="E89" s="237"/>
      <c r="F89" s="237"/>
      <c r="G89" s="237"/>
      <c r="H89" s="237"/>
      <c r="I89" s="237"/>
      <c r="J89" s="237"/>
      <c r="K89" s="22">
        <f>K58</f>
        <v>141.57</v>
      </c>
      <c r="M89" s="179"/>
      <c r="N89" s="179"/>
      <c r="O89" s="179"/>
      <c r="P89" s="179"/>
      <c r="Q89" s="179"/>
      <c r="R89" s="179"/>
      <c r="S89" s="179"/>
      <c r="T89" s="179"/>
    </row>
    <row r="90" spans="1:20" ht="17.25" customHeight="1" x14ac:dyDescent="0.25">
      <c r="A90" s="237" t="s">
        <v>75</v>
      </c>
      <c r="B90" s="237"/>
      <c r="C90" s="237"/>
      <c r="D90" s="237"/>
      <c r="E90" s="237"/>
      <c r="F90" s="237"/>
      <c r="G90" s="237"/>
      <c r="H90" s="237"/>
      <c r="I90" s="237"/>
      <c r="J90" s="237"/>
      <c r="K90" s="22">
        <f>K82</f>
        <v>680.99</v>
      </c>
      <c r="M90" s="179"/>
      <c r="N90" s="179"/>
      <c r="O90" s="179"/>
      <c r="P90" s="179"/>
      <c r="Q90" s="179"/>
      <c r="R90" s="179"/>
      <c r="S90" s="179"/>
      <c r="T90" s="179"/>
    </row>
    <row r="91" spans="1:20" ht="17.25" customHeight="1" x14ac:dyDescent="0.25">
      <c r="A91" s="237" t="s">
        <v>146</v>
      </c>
      <c r="B91" s="237"/>
      <c r="C91" s="237"/>
      <c r="D91" s="237"/>
      <c r="E91" s="237"/>
      <c r="F91" s="237"/>
      <c r="G91" s="237"/>
      <c r="H91" s="237"/>
      <c r="I91" s="237"/>
      <c r="J91" s="237"/>
      <c r="K91" s="22">
        <f>SUM(K87:K90)</f>
        <v>2592.13</v>
      </c>
      <c r="M91" s="179"/>
      <c r="N91" s="179"/>
      <c r="O91" s="179"/>
      <c r="P91" s="179"/>
      <c r="Q91" s="179"/>
      <c r="R91" s="179"/>
      <c r="S91" s="179"/>
      <c r="T91" s="179"/>
    </row>
    <row r="92" spans="1:20" ht="17.25" customHeight="1" x14ac:dyDescent="0.25">
      <c r="A92" s="237" t="s">
        <v>97</v>
      </c>
      <c r="B92" s="237"/>
      <c r="C92" s="237"/>
      <c r="D92" s="237"/>
      <c r="E92" s="237"/>
      <c r="F92" s="237"/>
      <c r="G92" s="237"/>
      <c r="H92" s="237"/>
      <c r="I92" s="237"/>
      <c r="J92" s="237"/>
      <c r="K92" s="22">
        <f>ROUND(K91/12,2)</f>
        <v>216.01</v>
      </c>
      <c r="M92" s="179"/>
      <c r="N92" s="179"/>
      <c r="O92" s="179"/>
      <c r="P92" s="179"/>
      <c r="Q92" s="179"/>
      <c r="R92" s="179"/>
      <c r="S92" s="179"/>
      <c r="T92" s="179"/>
    </row>
    <row r="93" spans="1:20" ht="17.25" customHeight="1" x14ac:dyDescent="0.25">
      <c r="A93" s="237" t="s">
        <v>147</v>
      </c>
      <c r="B93" s="237"/>
      <c r="C93" s="237"/>
      <c r="D93" s="237"/>
      <c r="E93" s="237"/>
      <c r="F93" s="237"/>
      <c r="G93" s="237"/>
      <c r="H93" s="237"/>
      <c r="I93" s="237"/>
      <c r="J93" s="237"/>
      <c r="K93" s="22">
        <f>ROUND(K89*40%,2)</f>
        <v>56.63</v>
      </c>
      <c r="M93" s="179"/>
      <c r="N93" s="179"/>
      <c r="O93" s="179"/>
      <c r="P93" s="179"/>
      <c r="Q93" s="179"/>
      <c r="R93" s="179"/>
      <c r="S93" s="179"/>
      <c r="T93" s="179"/>
    </row>
    <row r="94" spans="1:20" ht="17.25" customHeight="1" x14ac:dyDescent="0.25">
      <c r="A94" s="167" t="s">
        <v>98</v>
      </c>
      <c r="B94" s="167"/>
      <c r="C94" s="167"/>
      <c r="D94" s="167"/>
      <c r="E94" s="167"/>
      <c r="F94" s="167"/>
      <c r="G94" s="167"/>
      <c r="H94" s="167"/>
      <c r="I94" s="167"/>
      <c r="J94" s="167"/>
      <c r="K94" s="52">
        <f>ROUND(K92+K93,2)</f>
        <v>272.64</v>
      </c>
      <c r="M94" s="179"/>
      <c r="N94" s="179"/>
      <c r="O94" s="179"/>
      <c r="P94" s="179"/>
      <c r="Q94" s="179"/>
      <c r="R94" s="179"/>
      <c r="S94" s="179"/>
      <c r="T94" s="179"/>
    </row>
    <row r="95" spans="1:20" ht="17.25" customHeight="1" x14ac:dyDescent="0.25">
      <c r="A95" s="167" t="s">
        <v>99</v>
      </c>
      <c r="B95" s="167"/>
      <c r="C95" s="167"/>
      <c r="D95" s="167"/>
      <c r="E95" s="167"/>
      <c r="F95" s="167"/>
      <c r="G95" s="167"/>
      <c r="H95" s="212" t="s">
        <v>100</v>
      </c>
      <c r="I95" s="212"/>
      <c r="J95" s="212"/>
      <c r="K95" s="23" t="s">
        <v>101</v>
      </c>
      <c r="M95" s="179"/>
      <c r="N95" s="179"/>
      <c r="O95" s="179"/>
      <c r="P95" s="179"/>
      <c r="Q95" s="179"/>
      <c r="R95" s="179"/>
      <c r="S95" s="179"/>
      <c r="T95" s="179"/>
    </row>
    <row r="96" spans="1:20" ht="17.25" customHeight="1" x14ac:dyDescent="0.25">
      <c r="A96" s="167"/>
      <c r="B96" s="167"/>
      <c r="C96" s="167"/>
      <c r="D96" s="167"/>
      <c r="E96" s="167"/>
      <c r="F96" s="167"/>
      <c r="G96" s="167"/>
      <c r="H96" s="192">
        <v>0.5</v>
      </c>
      <c r="I96" s="192"/>
      <c r="J96" s="192"/>
      <c r="K96" s="52">
        <f>ROUND(H96*K94,2)</f>
        <v>136.32</v>
      </c>
      <c r="M96" s="179"/>
      <c r="N96" s="179"/>
      <c r="O96" s="179"/>
      <c r="P96" s="179"/>
      <c r="Q96" s="179"/>
      <c r="R96" s="179"/>
      <c r="S96" s="179"/>
      <c r="T96" s="179"/>
    </row>
    <row r="97" spans="1:20" ht="17.25" customHeight="1" x14ac:dyDescent="0.25">
      <c r="A97" s="189" t="s">
        <v>148</v>
      </c>
      <c r="B97" s="189"/>
      <c r="C97" s="189"/>
      <c r="D97" s="189"/>
      <c r="E97" s="189"/>
      <c r="F97" s="189"/>
      <c r="G97" s="189"/>
      <c r="H97" s="189"/>
      <c r="I97" s="189"/>
      <c r="J97" s="189"/>
      <c r="K97" s="19">
        <f>ROUND(K96,2)</f>
        <v>136.32</v>
      </c>
      <c r="M97" s="179"/>
      <c r="N97" s="179"/>
      <c r="O97" s="179"/>
      <c r="P97" s="179"/>
      <c r="Q97" s="179"/>
      <c r="R97" s="179"/>
      <c r="S97" s="179"/>
      <c r="T97" s="179"/>
    </row>
    <row r="98" spans="1:20" ht="17.25" customHeight="1" x14ac:dyDescent="0.25">
      <c r="A98" s="241" t="s">
        <v>102</v>
      </c>
      <c r="B98" s="241"/>
      <c r="C98" s="241"/>
      <c r="D98" s="241"/>
      <c r="E98" s="241"/>
      <c r="F98" s="241"/>
      <c r="G98" s="241"/>
      <c r="H98" s="241"/>
      <c r="I98" s="241"/>
      <c r="J98" s="241"/>
      <c r="K98" s="241"/>
      <c r="M98" s="179"/>
      <c r="N98" s="179"/>
      <c r="O98" s="179"/>
      <c r="P98" s="179"/>
      <c r="Q98" s="179"/>
      <c r="R98" s="179"/>
      <c r="S98" s="179"/>
      <c r="T98" s="179"/>
    </row>
    <row r="99" spans="1:20" ht="17.25" customHeight="1" x14ac:dyDescent="0.25">
      <c r="A99" s="237" t="s">
        <v>147</v>
      </c>
      <c r="B99" s="237"/>
      <c r="C99" s="237"/>
      <c r="D99" s="237"/>
      <c r="E99" s="237"/>
      <c r="F99" s="237"/>
      <c r="G99" s="237"/>
      <c r="H99" s="237"/>
      <c r="I99" s="237"/>
      <c r="J99" s="237"/>
      <c r="K99" s="22">
        <f>ROUND(K89*40%,2)</f>
        <v>56.63</v>
      </c>
      <c r="M99" s="179"/>
      <c r="N99" s="179"/>
      <c r="O99" s="179"/>
      <c r="P99" s="179"/>
      <c r="Q99" s="179"/>
      <c r="R99" s="179"/>
      <c r="S99" s="179"/>
      <c r="T99" s="179"/>
    </row>
    <row r="100" spans="1:20" ht="17.25" customHeight="1" x14ac:dyDescent="0.25">
      <c r="A100" s="167" t="s">
        <v>103</v>
      </c>
      <c r="B100" s="167"/>
      <c r="C100" s="167"/>
      <c r="D100" s="167"/>
      <c r="E100" s="167"/>
      <c r="F100" s="167"/>
      <c r="G100" s="167"/>
      <c r="H100" s="167"/>
      <c r="I100" s="167"/>
      <c r="J100" s="167"/>
      <c r="K100" s="52">
        <f>K99</f>
        <v>56.63</v>
      </c>
      <c r="M100" s="179"/>
      <c r="N100" s="179"/>
      <c r="O100" s="179"/>
      <c r="P100" s="179"/>
      <c r="Q100" s="179"/>
      <c r="R100" s="179"/>
      <c r="S100" s="179"/>
      <c r="T100" s="179"/>
    </row>
    <row r="101" spans="1:20" ht="17.25" customHeight="1" x14ac:dyDescent="0.25">
      <c r="A101" s="167" t="s">
        <v>104</v>
      </c>
      <c r="B101" s="167"/>
      <c r="C101" s="167"/>
      <c r="D101" s="167"/>
      <c r="E101" s="167"/>
      <c r="F101" s="167"/>
      <c r="G101" s="167"/>
      <c r="H101" s="212" t="s">
        <v>100</v>
      </c>
      <c r="I101" s="212"/>
      <c r="J101" s="212"/>
      <c r="K101" s="23" t="s">
        <v>101</v>
      </c>
      <c r="M101" s="179"/>
      <c r="N101" s="179"/>
      <c r="O101" s="179"/>
      <c r="P101" s="179"/>
      <c r="Q101" s="179"/>
      <c r="R101" s="179"/>
      <c r="S101" s="179"/>
      <c r="T101" s="179"/>
    </row>
    <row r="102" spans="1:20" ht="17.25" customHeight="1" x14ac:dyDescent="0.25">
      <c r="A102" s="167"/>
      <c r="B102" s="167"/>
      <c r="C102" s="167"/>
      <c r="D102" s="167"/>
      <c r="E102" s="167"/>
      <c r="F102" s="167"/>
      <c r="G102" s="167"/>
      <c r="H102" s="192">
        <v>0.5</v>
      </c>
      <c r="I102" s="192"/>
      <c r="J102" s="192"/>
      <c r="K102" s="52">
        <f>ROUND(H102*K100,2)</f>
        <v>28.32</v>
      </c>
      <c r="M102" s="179"/>
      <c r="N102" s="179"/>
      <c r="O102" s="179"/>
      <c r="P102" s="179"/>
      <c r="Q102" s="179"/>
      <c r="R102" s="179"/>
      <c r="S102" s="179"/>
      <c r="T102" s="179"/>
    </row>
    <row r="103" spans="1:20" ht="17.25" customHeight="1" x14ac:dyDescent="0.25">
      <c r="A103" s="189" t="s">
        <v>149</v>
      </c>
      <c r="B103" s="189"/>
      <c r="C103" s="189"/>
      <c r="D103" s="189"/>
      <c r="E103" s="189"/>
      <c r="F103" s="189"/>
      <c r="G103" s="189"/>
      <c r="H103" s="189"/>
      <c r="I103" s="189"/>
      <c r="J103" s="189"/>
      <c r="K103" s="19">
        <f>ROUND(K102,2)</f>
        <v>28.32</v>
      </c>
      <c r="M103" s="179"/>
      <c r="N103" s="179"/>
      <c r="O103" s="179"/>
      <c r="P103" s="179"/>
      <c r="Q103" s="179"/>
      <c r="R103" s="179"/>
      <c r="S103" s="179"/>
      <c r="T103" s="179"/>
    </row>
    <row r="104" spans="1:20" ht="17.25" customHeight="1" x14ac:dyDescent="0.25">
      <c r="A104" s="241" t="s">
        <v>150</v>
      </c>
      <c r="B104" s="241"/>
      <c r="C104" s="241"/>
      <c r="D104" s="241"/>
      <c r="E104" s="241"/>
      <c r="F104" s="241"/>
      <c r="G104" s="241"/>
      <c r="H104" s="241"/>
      <c r="I104" s="241"/>
      <c r="J104" s="241"/>
      <c r="K104" s="241"/>
      <c r="M104" s="179"/>
      <c r="N104" s="179"/>
      <c r="O104" s="179"/>
      <c r="P104" s="179"/>
      <c r="Q104" s="179"/>
      <c r="R104" s="179"/>
      <c r="S104" s="179"/>
      <c r="T104" s="179"/>
    </row>
    <row r="105" spans="1:20" ht="17.25" customHeight="1" x14ac:dyDescent="0.25">
      <c r="A105" s="242" t="s">
        <v>151</v>
      </c>
      <c r="B105" s="242"/>
      <c r="C105" s="242"/>
      <c r="D105" s="242"/>
      <c r="E105" s="242"/>
      <c r="F105" s="242"/>
      <c r="G105" s="242"/>
      <c r="H105" s="242"/>
      <c r="I105" s="242"/>
      <c r="J105" s="242"/>
      <c r="K105" s="22">
        <f>K97+K103</f>
        <v>164.64</v>
      </c>
      <c r="M105" s="179"/>
      <c r="N105" s="179"/>
      <c r="O105" s="179"/>
      <c r="P105" s="179"/>
      <c r="Q105" s="179"/>
      <c r="R105" s="179"/>
      <c r="S105" s="179"/>
      <c r="T105" s="179"/>
    </row>
    <row r="106" spans="1:20" ht="17.25" customHeight="1" x14ac:dyDescent="0.25">
      <c r="A106" s="242" t="s">
        <v>152</v>
      </c>
      <c r="B106" s="242"/>
      <c r="C106" s="242"/>
      <c r="D106" s="242"/>
      <c r="E106" s="242"/>
      <c r="F106" s="242"/>
      <c r="G106" s="242"/>
      <c r="H106" s="242"/>
      <c r="I106" s="242"/>
      <c r="J106" s="242"/>
      <c r="K106" s="22">
        <f>K105/10</f>
        <v>16.463999999999999</v>
      </c>
      <c r="M106" s="179"/>
      <c r="N106" s="179"/>
      <c r="O106" s="179"/>
      <c r="P106" s="179"/>
      <c r="Q106" s="179"/>
      <c r="R106" s="179"/>
      <c r="S106" s="179"/>
      <c r="T106" s="179"/>
    </row>
    <row r="107" spans="1:20" ht="30" customHeight="1" x14ac:dyDescent="0.25">
      <c r="A107" s="167" t="s">
        <v>153</v>
      </c>
      <c r="B107" s="167"/>
      <c r="C107" s="167"/>
      <c r="D107" s="167"/>
      <c r="E107" s="167"/>
      <c r="F107" s="167"/>
      <c r="G107" s="167"/>
      <c r="H107" s="243" t="s">
        <v>154</v>
      </c>
      <c r="I107" s="243"/>
      <c r="J107" s="243"/>
      <c r="K107" s="23" t="s">
        <v>101</v>
      </c>
      <c r="M107" s="179"/>
      <c r="N107" s="179"/>
      <c r="O107" s="179"/>
      <c r="P107" s="179"/>
      <c r="Q107" s="179"/>
      <c r="R107" s="179"/>
      <c r="S107" s="179"/>
      <c r="T107" s="179"/>
    </row>
    <row r="108" spans="1:20" ht="17.25" customHeight="1" x14ac:dyDescent="0.25">
      <c r="A108" s="167"/>
      <c r="B108" s="167"/>
      <c r="C108" s="167"/>
      <c r="D108" s="167"/>
      <c r="E108" s="167"/>
      <c r="F108" s="167"/>
      <c r="G108" s="167"/>
      <c r="H108" s="244">
        <v>0</v>
      </c>
      <c r="I108" s="244"/>
      <c r="J108" s="244"/>
      <c r="K108" s="52">
        <f>ROUND(K106*H108,2)</f>
        <v>0</v>
      </c>
      <c r="M108" s="179"/>
      <c r="N108" s="179"/>
      <c r="O108" s="179"/>
      <c r="P108" s="179"/>
      <c r="Q108" s="179"/>
      <c r="R108" s="179"/>
      <c r="S108" s="179"/>
      <c r="T108" s="179"/>
    </row>
    <row r="109" spans="1:20" ht="17.25" customHeight="1" x14ac:dyDescent="0.25">
      <c r="A109" s="189" t="s">
        <v>155</v>
      </c>
      <c r="B109" s="189"/>
      <c r="C109" s="189"/>
      <c r="D109" s="189"/>
      <c r="E109" s="189"/>
      <c r="F109" s="189"/>
      <c r="G109" s="189"/>
      <c r="H109" s="189"/>
      <c r="I109" s="189"/>
      <c r="J109" s="189"/>
      <c r="K109" s="19">
        <f>K108</f>
        <v>0</v>
      </c>
      <c r="M109" s="179"/>
      <c r="N109" s="179"/>
      <c r="O109" s="179"/>
      <c r="P109" s="179"/>
      <c r="Q109" s="179"/>
      <c r="R109" s="179"/>
      <c r="S109" s="179"/>
      <c r="T109" s="179"/>
    </row>
    <row r="110" spans="1:20" ht="17.25" customHeight="1" x14ac:dyDescent="0.25">
      <c r="A110" s="239" t="s">
        <v>105</v>
      </c>
      <c r="B110" s="239"/>
      <c r="C110" s="239"/>
      <c r="D110" s="239"/>
      <c r="E110" s="239"/>
      <c r="F110" s="239"/>
      <c r="G110" s="239"/>
      <c r="H110" s="239"/>
      <c r="I110" s="239"/>
      <c r="J110" s="239"/>
      <c r="K110" s="24">
        <f>K97+K103+K109</f>
        <v>164.64</v>
      </c>
      <c r="M110" s="179"/>
      <c r="N110" s="179"/>
      <c r="O110" s="179"/>
      <c r="P110" s="179"/>
      <c r="Q110" s="179"/>
      <c r="R110" s="179"/>
      <c r="S110" s="179"/>
      <c r="T110" s="179"/>
    </row>
    <row r="111" spans="1:20" ht="9.75" customHeight="1" x14ac:dyDescent="0.25">
      <c r="A111" s="165"/>
      <c r="B111" s="165"/>
      <c r="C111" s="165"/>
      <c r="D111" s="165"/>
      <c r="E111" s="165"/>
      <c r="F111" s="165"/>
      <c r="G111" s="165"/>
      <c r="H111" s="165"/>
      <c r="I111" s="165"/>
      <c r="J111" s="165"/>
      <c r="K111" s="165"/>
      <c r="M111" s="179"/>
      <c r="N111" s="179"/>
      <c r="O111" s="179"/>
      <c r="P111" s="179"/>
      <c r="Q111" s="179"/>
      <c r="R111" s="179"/>
      <c r="S111" s="179"/>
      <c r="T111" s="179"/>
    </row>
    <row r="112" spans="1:20" ht="17.25" customHeight="1" x14ac:dyDescent="0.25">
      <c r="A112" s="172" t="s">
        <v>106</v>
      </c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  <c r="M112" s="179"/>
      <c r="N112" s="179"/>
      <c r="O112" s="179"/>
      <c r="P112" s="179"/>
      <c r="Q112" s="179"/>
      <c r="R112" s="179"/>
      <c r="S112" s="179"/>
      <c r="T112" s="179"/>
    </row>
    <row r="113" spans="1:20" ht="17.25" customHeight="1" x14ac:dyDescent="0.25">
      <c r="A113" s="189" t="s">
        <v>107</v>
      </c>
      <c r="B113" s="189"/>
      <c r="C113" s="189"/>
      <c r="D113" s="189"/>
      <c r="E113" s="189"/>
      <c r="F113" s="189"/>
      <c r="G113" s="189"/>
      <c r="H113" s="189"/>
      <c r="I113" s="189"/>
      <c r="J113" s="189"/>
      <c r="K113" s="189"/>
      <c r="M113" s="179"/>
      <c r="N113" s="179"/>
      <c r="O113" s="179"/>
      <c r="P113" s="179"/>
      <c r="Q113" s="179"/>
      <c r="R113" s="179"/>
      <c r="S113" s="179"/>
      <c r="T113" s="179"/>
    </row>
    <row r="114" spans="1:20" ht="17.25" customHeight="1" x14ac:dyDescent="0.25">
      <c r="A114" s="189" t="s">
        <v>156</v>
      </c>
      <c r="B114" s="189"/>
      <c r="C114" s="189"/>
      <c r="D114" s="189"/>
      <c r="E114" s="189"/>
      <c r="F114" s="189"/>
      <c r="G114" s="189"/>
      <c r="H114" s="189"/>
      <c r="I114" s="189"/>
      <c r="J114" s="189"/>
      <c r="K114" s="189"/>
      <c r="M114" s="179"/>
      <c r="N114" s="179"/>
      <c r="O114" s="179"/>
      <c r="P114" s="179"/>
      <c r="Q114" s="179"/>
      <c r="R114" s="179"/>
      <c r="S114" s="179"/>
      <c r="T114" s="179"/>
    </row>
    <row r="115" spans="1:20" ht="39.75" customHeight="1" x14ac:dyDescent="0.25">
      <c r="A115" s="189" t="s">
        <v>157</v>
      </c>
      <c r="B115" s="189"/>
      <c r="C115" s="189"/>
      <c r="D115" s="189"/>
      <c r="E115" s="189"/>
      <c r="F115" s="58" t="s">
        <v>158</v>
      </c>
      <c r="G115" s="25" t="s">
        <v>159</v>
      </c>
      <c r="H115" s="189" t="s">
        <v>160</v>
      </c>
      <c r="I115" s="189"/>
      <c r="J115" s="189"/>
      <c r="K115" s="58" t="s">
        <v>161</v>
      </c>
      <c r="M115" s="179"/>
      <c r="N115" s="179"/>
      <c r="O115" s="179"/>
      <c r="P115" s="179"/>
      <c r="Q115" s="179"/>
      <c r="R115" s="179"/>
      <c r="S115" s="179"/>
      <c r="T115" s="179"/>
    </row>
    <row r="116" spans="1:20" ht="17.25" customHeight="1" x14ac:dyDescent="0.25">
      <c r="A116" s="167" t="s">
        <v>162</v>
      </c>
      <c r="B116" s="167"/>
      <c r="C116" s="167"/>
      <c r="D116" s="167"/>
      <c r="E116" s="167"/>
      <c r="F116" s="5">
        <v>1</v>
      </c>
      <c r="G116" s="54">
        <v>30</v>
      </c>
      <c r="H116" s="238">
        <f>255/365</f>
        <v>0.69863013698630139</v>
      </c>
      <c r="I116" s="238"/>
      <c r="J116" s="238"/>
      <c r="K116" s="26">
        <f>ROUND(F116*G116*H116,4)</f>
        <v>20.9589</v>
      </c>
      <c r="M116" s="179"/>
      <c r="N116" s="179"/>
      <c r="O116" s="179"/>
      <c r="P116" s="179"/>
      <c r="Q116" s="179"/>
      <c r="R116" s="179"/>
      <c r="S116" s="179"/>
      <c r="T116" s="179"/>
    </row>
    <row r="117" spans="1:20" ht="17.25" customHeight="1" x14ac:dyDescent="0.25">
      <c r="A117" s="167" t="s">
        <v>163</v>
      </c>
      <c r="B117" s="167"/>
      <c r="C117" s="167"/>
      <c r="D117" s="167"/>
      <c r="E117" s="167"/>
      <c r="F117" s="5">
        <v>1</v>
      </c>
      <c r="G117" s="54">
        <v>1</v>
      </c>
      <c r="H117" s="238">
        <v>1</v>
      </c>
      <c r="I117" s="238"/>
      <c r="J117" s="238"/>
      <c r="K117" s="26">
        <f t="shared" ref="K117:K127" si="1">ROUND(F117*G117*H117,4)</f>
        <v>1</v>
      </c>
      <c r="M117" s="179"/>
      <c r="N117" s="179"/>
      <c r="O117" s="179"/>
      <c r="P117" s="179"/>
      <c r="Q117" s="179"/>
      <c r="R117" s="179"/>
      <c r="S117" s="179"/>
      <c r="T117" s="179"/>
    </row>
    <row r="118" spans="1:20" ht="17.25" customHeight="1" x14ac:dyDescent="0.25">
      <c r="A118" s="167" t="s">
        <v>164</v>
      </c>
      <c r="B118" s="167"/>
      <c r="C118" s="167"/>
      <c r="D118" s="167"/>
      <c r="E118" s="167"/>
      <c r="F118" s="5">
        <v>9.2200000000000004E-2</v>
      </c>
      <c r="G118" s="54">
        <v>15</v>
      </c>
      <c r="H118" s="238">
        <f>255/365</f>
        <v>0.69863013698630139</v>
      </c>
      <c r="I118" s="238"/>
      <c r="J118" s="238"/>
      <c r="K118" s="26">
        <f t="shared" si="1"/>
        <v>0.96619999999999995</v>
      </c>
      <c r="M118" s="179"/>
      <c r="N118" s="179"/>
      <c r="O118" s="179"/>
      <c r="P118" s="179"/>
      <c r="Q118" s="179"/>
      <c r="R118" s="179"/>
      <c r="S118" s="179"/>
      <c r="T118" s="179"/>
    </row>
    <row r="119" spans="1:20" ht="17.25" customHeight="1" x14ac:dyDescent="0.25">
      <c r="A119" s="167" t="s">
        <v>165</v>
      </c>
      <c r="B119" s="167"/>
      <c r="C119" s="167"/>
      <c r="D119" s="167"/>
      <c r="E119" s="167"/>
      <c r="F119" s="5">
        <v>1</v>
      </c>
      <c r="G119" s="54">
        <v>5</v>
      </c>
      <c r="H119" s="238">
        <f>255/365</f>
        <v>0.69863013698630139</v>
      </c>
      <c r="I119" s="238"/>
      <c r="J119" s="238"/>
      <c r="K119" s="26">
        <f t="shared" si="1"/>
        <v>3.4931999999999999</v>
      </c>
      <c r="M119" s="179"/>
      <c r="N119" s="179"/>
      <c r="O119" s="179"/>
      <c r="P119" s="179"/>
      <c r="Q119" s="179"/>
      <c r="R119" s="179"/>
      <c r="S119" s="179"/>
      <c r="T119" s="179"/>
    </row>
    <row r="120" spans="1:20" ht="17.25" customHeight="1" x14ac:dyDescent="0.25">
      <c r="A120" s="167" t="s">
        <v>166</v>
      </c>
      <c r="B120" s="167"/>
      <c r="C120" s="167"/>
      <c r="D120" s="167"/>
      <c r="E120" s="167"/>
      <c r="F120" s="5">
        <v>0.13439999999999999</v>
      </c>
      <c r="G120" s="54">
        <v>2</v>
      </c>
      <c r="H120" s="238">
        <v>1</v>
      </c>
      <c r="I120" s="238"/>
      <c r="J120" s="238"/>
      <c r="K120" s="26">
        <f t="shared" si="1"/>
        <v>0.26879999999999998</v>
      </c>
      <c r="M120" s="179"/>
      <c r="N120" s="179"/>
      <c r="O120" s="179"/>
      <c r="P120" s="179"/>
      <c r="Q120" s="179"/>
      <c r="R120" s="179"/>
      <c r="S120" s="179"/>
      <c r="T120" s="179"/>
    </row>
    <row r="121" spans="1:20" ht="17.25" customHeight="1" x14ac:dyDescent="0.25">
      <c r="A121" s="167" t="s">
        <v>167</v>
      </c>
      <c r="B121" s="167"/>
      <c r="C121" s="167"/>
      <c r="D121" s="167"/>
      <c r="E121" s="167"/>
      <c r="F121" s="5">
        <v>3.0499999999999999E-2</v>
      </c>
      <c r="G121" s="54">
        <v>2</v>
      </c>
      <c r="H121" s="238">
        <f>255/365</f>
        <v>0.69863013698630139</v>
      </c>
      <c r="I121" s="238"/>
      <c r="J121" s="238"/>
      <c r="K121" s="26">
        <f t="shared" si="1"/>
        <v>4.2599999999999999E-2</v>
      </c>
      <c r="M121" s="179"/>
      <c r="N121" s="179"/>
      <c r="O121" s="179"/>
      <c r="P121" s="179"/>
      <c r="Q121" s="179"/>
      <c r="R121" s="179"/>
      <c r="S121" s="179"/>
      <c r="T121" s="179"/>
    </row>
    <row r="122" spans="1:20" ht="17.25" customHeight="1" x14ac:dyDescent="0.25">
      <c r="A122" s="167" t="s">
        <v>168</v>
      </c>
      <c r="B122" s="167"/>
      <c r="C122" s="167"/>
      <c r="D122" s="167"/>
      <c r="E122" s="167"/>
      <c r="F122" s="5">
        <v>1.18E-2</v>
      </c>
      <c r="G122" s="54">
        <v>3</v>
      </c>
      <c r="H122" s="238">
        <v>1</v>
      </c>
      <c r="I122" s="238"/>
      <c r="J122" s="238"/>
      <c r="K122" s="26">
        <f t="shared" si="1"/>
        <v>3.5400000000000001E-2</v>
      </c>
      <c r="M122" s="179"/>
      <c r="N122" s="179"/>
      <c r="O122" s="179"/>
      <c r="P122" s="179"/>
      <c r="Q122" s="179"/>
      <c r="R122" s="179"/>
      <c r="S122" s="179"/>
      <c r="T122" s="179"/>
    </row>
    <row r="123" spans="1:20" ht="17.25" customHeight="1" x14ac:dyDescent="0.25">
      <c r="A123" s="167" t="s">
        <v>169</v>
      </c>
      <c r="B123" s="167"/>
      <c r="C123" s="167"/>
      <c r="D123" s="167"/>
      <c r="E123" s="167"/>
      <c r="F123" s="5">
        <v>0.02</v>
      </c>
      <c r="G123" s="54">
        <v>1</v>
      </c>
      <c r="H123" s="238">
        <v>1</v>
      </c>
      <c r="I123" s="238"/>
      <c r="J123" s="238"/>
      <c r="K123" s="26">
        <f t="shared" si="1"/>
        <v>0.02</v>
      </c>
      <c r="M123" s="179"/>
      <c r="N123" s="179"/>
      <c r="O123" s="179"/>
      <c r="P123" s="179"/>
      <c r="Q123" s="179"/>
      <c r="R123" s="179"/>
      <c r="S123" s="179"/>
      <c r="T123" s="179"/>
    </row>
    <row r="124" spans="1:20" ht="17.25" customHeight="1" x14ac:dyDescent="0.25">
      <c r="A124" s="167" t="s">
        <v>170</v>
      </c>
      <c r="B124" s="167"/>
      <c r="C124" s="167"/>
      <c r="D124" s="167"/>
      <c r="E124" s="167"/>
      <c r="F124" s="5">
        <v>4.0000000000000001E-3</v>
      </c>
      <c r="G124" s="54">
        <v>1</v>
      </c>
      <c r="H124" s="238">
        <v>1</v>
      </c>
      <c r="I124" s="238"/>
      <c r="J124" s="238"/>
      <c r="K124" s="26">
        <f t="shared" si="1"/>
        <v>4.0000000000000001E-3</v>
      </c>
      <c r="M124" s="179"/>
      <c r="N124" s="179"/>
      <c r="O124" s="179"/>
      <c r="P124" s="179"/>
      <c r="Q124" s="179"/>
      <c r="R124" s="179"/>
      <c r="S124" s="179"/>
      <c r="T124" s="179"/>
    </row>
    <row r="125" spans="1:20" ht="17.25" customHeight="1" x14ac:dyDescent="0.25">
      <c r="A125" s="167" t="s">
        <v>171</v>
      </c>
      <c r="B125" s="167"/>
      <c r="C125" s="167"/>
      <c r="D125" s="167"/>
      <c r="E125" s="167"/>
      <c r="F125" s="5">
        <v>1.43E-2</v>
      </c>
      <c r="G125" s="54">
        <v>20</v>
      </c>
      <c r="H125" s="238">
        <f>255/365</f>
        <v>0.69863013698630139</v>
      </c>
      <c r="I125" s="238"/>
      <c r="J125" s="238"/>
      <c r="K125" s="26">
        <f t="shared" si="1"/>
        <v>0.19980000000000001</v>
      </c>
      <c r="M125" s="179"/>
      <c r="N125" s="179"/>
      <c r="O125" s="179"/>
      <c r="P125" s="179"/>
      <c r="Q125" s="179"/>
      <c r="R125" s="179"/>
      <c r="S125" s="179"/>
      <c r="T125" s="179"/>
    </row>
    <row r="126" spans="1:20" ht="17.25" customHeight="1" x14ac:dyDescent="0.25">
      <c r="A126" s="167" t="s">
        <v>172</v>
      </c>
      <c r="B126" s="167"/>
      <c r="C126" s="167"/>
      <c r="D126" s="167"/>
      <c r="E126" s="167"/>
      <c r="F126" s="5">
        <v>1.9699999999999999E-2</v>
      </c>
      <c r="G126" s="54">
        <v>180</v>
      </c>
      <c r="H126" s="238">
        <f>255/365</f>
        <v>0.69863013698630139</v>
      </c>
      <c r="I126" s="238"/>
      <c r="J126" s="238"/>
      <c r="K126" s="26">
        <f t="shared" si="1"/>
        <v>2.4773000000000001</v>
      </c>
      <c r="M126" s="179"/>
      <c r="N126" s="179"/>
      <c r="O126" s="179"/>
      <c r="P126" s="179"/>
      <c r="Q126" s="179"/>
      <c r="R126" s="179"/>
      <c r="S126" s="179"/>
      <c r="T126" s="179"/>
    </row>
    <row r="127" spans="1:20" ht="17.25" customHeight="1" x14ac:dyDescent="0.25">
      <c r="A127" s="167" t="s">
        <v>173</v>
      </c>
      <c r="B127" s="167"/>
      <c r="C127" s="167"/>
      <c r="D127" s="167"/>
      <c r="E127" s="167"/>
      <c r="F127" s="5">
        <v>1.6000000000000001E-3</v>
      </c>
      <c r="G127" s="54">
        <v>6</v>
      </c>
      <c r="H127" s="238">
        <v>1</v>
      </c>
      <c r="I127" s="238"/>
      <c r="J127" s="238"/>
      <c r="K127" s="26">
        <f t="shared" si="1"/>
        <v>9.5999999999999992E-3</v>
      </c>
      <c r="M127" s="179"/>
      <c r="N127" s="179"/>
      <c r="O127" s="179"/>
      <c r="P127" s="179"/>
      <c r="Q127" s="179"/>
      <c r="R127" s="179"/>
      <c r="S127" s="179"/>
      <c r="T127" s="179"/>
    </row>
    <row r="128" spans="1:20" ht="17.25" customHeight="1" x14ac:dyDescent="0.25">
      <c r="A128" s="245" t="s">
        <v>174</v>
      </c>
      <c r="B128" s="245"/>
      <c r="C128" s="245"/>
      <c r="D128" s="245"/>
      <c r="E128" s="245"/>
      <c r="F128" s="245"/>
      <c r="G128" s="245"/>
      <c r="H128" s="245"/>
      <c r="I128" s="245"/>
      <c r="J128" s="245"/>
      <c r="K128" s="27">
        <f>ROUND(SUM(K116:K127),0)</f>
        <v>29</v>
      </c>
      <c r="M128" s="179"/>
      <c r="N128" s="179"/>
      <c r="O128" s="179"/>
      <c r="P128" s="179"/>
      <c r="Q128" s="179"/>
      <c r="R128" s="179"/>
      <c r="S128" s="179"/>
      <c r="T128" s="179"/>
    </row>
    <row r="129" spans="1:20" ht="17.25" customHeight="1" x14ac:dyDescent="0.25">
      <c r="A129" s="237" t="s">
        <v>60</v>
      </c>
      <c r="B129" s="237"/>
      <c r="C129" s="237"/>
      <c r="D129" s="237"/>
      <c r="E129" s="237"/>
      <c r="F129" s="237"/>
      <c r="G129" s="237"/>
      <c r="H129" s="237"/>
      <c r="I129" s="237"/>
      <c r="J129" s="237"/>
      <c r="K129" s="22">
        <f>K35</f>
        <v>1481.56</v>
      </c>
      <c r="M129" s="179"/>
      <c r="N129" s="179"/>
      <c r="O129" s="179"/>
      <c r="P129" s="179"/>
      <c r="Q129" s="179"/>
      <c r="R129" s="179"/>
      <c r="S129" s="179"/>
      <c r="T129" s="179"/>
    </row>
    <row r="130" spans="1:20" ht="17.25" customHeight="1" x14ac:dyDescent="0.25">
      <c r="A130" s="237" t="s">
        <v>108</v>
      </c>
      <c r="B130" s="237"/>
      <c r="C130" s="237"/>
      <c r="D130" s="237"/>
      <c r="E130" s="237"/>
      <c r="F130" s="237"/>
      <c r="G130" s="237"/>
      <c r="H130" s="237"/>
      <c r="I130" s="237"/>
      <c r="J130" s="237"/>
      <c r="K130" s="22">
        <f>K83</f>
        <v>1620.21</v>
      </c>
      <c r="M130" s="179"/>
      <c r="N130" s="179"/>
      <c r="O130" s="179"/>
      <c r="P130" s="179"/>
      <c r="Q130" s="179"/>
      <c r="R130" s="179"/>
      <c r="S130" s="179"/>
      <c r="T130" s="179"/>
    </row>
    <row r="131" spans="1:20" ht="17.25" customHeight="1" x14ac:dyDescent="0.25">
      <c r="A131" s="237" t="s">
        <v>109</v>
      </c>
      <c r="B131" s="237"/>
      <c r="C131" s="237"/>
      <c r="D131" s="237"/>
      <c r="E131" s="237"/>
      <c r="F131" s="237"/>
      <c r="G131" s="237"/>
      <c r="H131" s="237"/>
      <c r="I131" s="237"/>
      <c r="J131" s="237"/>
      <c r="K131" s="22">
        <f>K110</f>
        <v>164.64</v>
      </c>
      <c r="M131" s="179"/>
      <c r="N131" s="179"/>
      <c r="O131" s="179"/>
      <c r="P131" s="179"/>
      <c r="Q131" s="179"/>
      <c r="R131" s="179"/>
      <c r="S131" s="179"/>
      <c r="T131" s="179"/>
    </row>
    <row r="132" spans="1:20" ht="17.25" customHeight="1" x14ac:dyDescent="0.25">
      <c r="A132" s="237" t="s">
        <v>110</v>
      </c>
      <c r="B132" s="237"/>
      <c r="C132" s="237"/>
      <c r="D132" s="237"/>
      <c r="E132" s="237"/>
      <c r="F132" s="237"/>
      <c r="G132" s="237"/>
      <c r="H132" s="237"/>
      <c r="I132" s="237"/>
      <c r="J132" s="237"/>
      <c r="K132" s="22">
        <f>K129+K130+K131</f>
        <v>3266.41</v>
      </c>
      <c r="M132" s="179"/>
      <c r="N132" s="179"/>
      <c r="O132" s="179"/>
      <c r="P132" s="179"/>
      <c r="Q132" s="179"/>
      <c r="R132" s="179"/>
      <c r="S132" s="179"/>
      <c r="T132" s="179"/>
    </row>
    <row r="133" spans="1:20" ht="17.25" customHeight="1" x14ac:dyDescent="0.25">
      <c r="A133" s="237" t="s">
        <v>175</v>
      </c>
      <c r="B133" s="237"/>
      <c r="C133" s="237"/>
      <c r="D133" s="237"/>
      <c r="E133" s="237"/>
      <c r="F133" s="237"/>
      <c r="G133" s="237"/>
      <c r="H133" s="237"/>
      <c r="I133" s="237"/>
      <c r="J133" s="237"/>
      <c r="K133" s="28">
        <f>ROUND(K132/30,2)</f>
        <v>108.88</v>
      </c>
      <c r="M133" s="179"/>
      <c r="N133" s="179"/>
      <c r="O133" s="179"/>
      <c r="P133" s="179"/>
      <c r="Q133" s="179"/>
      <c r="R133" s="179"/>
      <c r="S133" s="179"/>
      <c r="T133" s="179"/>
    </row>
    <row r="134" spans="1:20" ht="17.25" customHeight="1" x14ac:dyDescent="0.25">
      <c r="A134" s="237" t="s">
        <v>176</v>
      </c>
      <c r="B134" s="237"/>
      <c r="C134" s="237"/>
      <c r="D134" s="237"/>
      <c r="E134" s="237"/>
      <c r="F134" s="237"/>
      <c r="G134" s="237"/>
      <c r="H134" s="237"/>
      <c r="I134" s="237"/>
      <c r="J134" s="237"/>
      <c r="K134" s="28">
        <f>ROUND(K133*K128,2)</f>
        <v>3157.52</v>
      </c>
      <c r="M134" s="179"/>
      <c r="N134" s="179"/>
      <c r="O134" s="179"/>
      <c r="P134" s="179"/>
      <c r="Q134" s="179"/>
      <c r="R134" s="179"/>
      <c r="S134" s="179"/>
      <c r="T134" s="179"/>
    </row>
    <row r="135" spans="1:20" ht="17.25" customHeight="1" x14ac:dyDescent="0.25">
      <c r="A135" s="237" t="s">
        <v>177</v>
      </c>
      <c r="B135" s="237"/>
      <c r="C135" s="237"/>
      <c r="D135" s="237"/>
      <c r="E135" s="237"/>
      <c r="F135" s="237"/>
      <c r="G135" s="237"/>
      <c r="H135" s="237"/>
      <c r="I135" s="237"/>
      <c r="J135" s="237"/>
      <c r="K135" s="28">
        <f>ROUND(K134/12,2)</f>
        <v>263.13</v>
      </c>
      <c r="M135" s="179"/>
      <c r="N135" s="179"/>
      <c r="O135" s="179"/>
      <c r="P135" s="179"/>
      <c r="Q135" s="179"/>
      <c r="R135" s="179"/>
      <c r="S135" s="179"/>
      <c r="T135" s="179"/>
    </row>
    <row r="136" spans="1:20" ht="17.25" customHeight="1" x14ac:dyDescent="0.25">
      <c r="A136" s="189" t="s">
        <v>111</v>
      </c>
      <c r="B136" s="189"/>
      <c r="C136" s="189"/>
      <c r="D136" s="189"/>
      <c r="E136" s="189"/>
      <c r="F136" s="189"/>
      <c r="G136" s="189"/>
      <c r="H136" s="189"/>
      <c r="I136" s="189"/>
      <c r="J136" s="189"/>
      <c r="K136" s="19">
        <f>K135</f>
        <v>263.13</v>
      </c>
      <c r="M136" s="179"/>
      <c r="N136" s="179"/>
      <c r="O136" s="179"/>
      <c r="P136" s="179"/>
      <c r="Q136" s="179"/>
      <c r="R136" s="179"/>
      <c r="S136" s="179"/>
      <c r="T136" s="179"/>
    </row>
    <row r="137" spans="1:20" s="130" customFormat="1" ht="5.25" customHeight="1" x14ac:dyDescent="0.25">
      <c r="A137" s="209"/>
      <c r="B137" s="209"/>
      <c r="C137" s="209"/>
      <c r="D137" s="209"/>
      <c r="E137" s="209"/>
      <c r="F137" s="209"/>
      <c r="G137" s="209"/>
      <c r="H137" s="209"/>
      <c r="I137" s="209"/>
      <c r="J137" s="209"/>
      <c r="K137" s="209"/>
      <c r="M137" s="127"/>
      <c r="N137" s="127"/>
      <c r="O137" s="127"/>
      <c r="P137" s="127"/>
      <c r="Q137" s="127"/>
      <c r="R137" s="127"/>
      <c r="S137" s="127"/>
      <c r="T137" s="127"/>
    </row>
    <row r="138" spans="1:20" ht="17.25" customHeight="1" x14ac:dyDescent="0.25">
      <c r="A138" s="212" t="s">
        <v>112</v>
      </c>
      <c r="B138" s="212"/>
      <c r="C138" s="212"/>
      <c r="D138" s="212"/>
      <c r="E138" s="212"/>
      <c r="F138" s="212"/>
      <c r="G138" s="212"/>
      <c r="H138" s="212"/>
      <c r="I138" s="212"/>
      <c r="J138" s="212"/>
      <c r="K138" s="212"/>
    </row>
    <row r="139" spans="1:20" ht="17.25" customHeight="1" x14ac:dyDescent="0.25">
      <c r="A139" s="201"/>
      <c r="B139" s="201"/>
      <c r="C139" s="201"/>
      <c r="D139" s="201"/>
      <c r="E139" s="201"/>
      <c r="F139" s="201"/>
      <c r="G139" s="201"/>
      <c r="H139" s="201"/>
      <c r="I139" s="201"/>
      <c r="J139" s="201"/>
      <c r="K139" s="53" t="s">
        <v>35</v>
      </c>
    </row>
    <row r="140" spans="1:20" ht="17.25" customHeight="1" x14ac:dyDescent="0.25">
      <c r="A140" s="54" t="s">
        <v>7</v>
      </c>
      <c r="B140" s="171" t="s">
        <v>113</v>
      </c>
      <c r="C140" s="171"/>
      <c r="D140" s="171"/>
      <c r="E140" s="171"/>
      <c r="F140" s="171"/>
      <c r="G140" s="171"/>
      <c r="H140" s="171"/>
      <c r="I140" s="171"/>
      <c r="J140" s="171"/>
      <c r="K140" s="52">
        <v>0</v>
      </c>
    </row>
    <row r="141" spans="1:20" ht="17.25" customHeight="1" x14ac:dyDescent="0.25">
      <c r="A141" s="189" t="s">
        <v>114</v>
      </c>
      <c r="B141" s="189"/>
      <c r="C141" s="189"/>
      <c r="D141" s="189"/>
      <c r="E141" s="189"/>
      <c r="F141" s="189"/>
      <c r="G141" s="189"/>
      <c r="H141" s="189"/>
      <c r="I141" s="189"/>
      <c r="J141" s="189"/>
      <c r="K141" s="19">
        <f>K140</f>
        <v>0</v>
      </c>
    </row>
    <row r="142" spans="1:20" ht="5.25" customHeight="1" x14ac:dyDescent="0.25">
      <c r="A142" s="167"/>
      <c r="B142" s="167"/>
      <c r="C142" s="167"/>
      <c r="D142" s="167"/>
      <c r="E142" s="167"/>
      <c r="F142" s="167"/>
      <c r="G142" s="167"/>
      <c r="H142" s="167"/>
      <c r="I142" s="167"/>
      <c r="J142" s="167"/>
      <c r="K142" s="167"/>
    </row>
    <row r="143" spans="1:20" ht="17.25" customHeight="1" x14ac:dyDescent="0.25">
      <c r="A143" s="172" t="s">
        <v>115</v>
      </c>
      <c r="B143" s="172"/>
      <c r="C143" s="172"/>
      <c r="D143" s="172"/>
      <c r="E143" s="172"/>
      <c r="F143" s="172"/>
      <c r="G143" s="172"/>
      <c r="H143" s="172"/>
      <c r="I143" s="172"/>
      <c r="J143" s="172"/>
      <c r="K143" s="17">
        <f>SUM(K136,K141)</f>
        <v>263.13</v>
      </c>
    </row>
    <row r="144" spans="1:20" ht="6.75" customHeight="1" x14ac:dyDescent="0.25">
      <c r="A144" s="165"/>
      <c r="B144" s="165"/>
      <c r="C144" s="165"/>
      <c r="D144" s="165"/>
      <c r="E144" s="165"/>
      <c r="F144" s="165"/>
      <c r="G144" s="165"/>
      <c r="H144" s="165"/>
      <c r="I144" s="165"/>
      <c r="J144" s="165"/>
      <c r="K144" s="165"/>
    </row>
    <row r="145" spans="1:20" ht="17.25" customHeight="1" x14ac:dyDescent="0.25">
      <c r="A145" s="172" t="s">
        <v>116</v>
      </c>
      <c r="B145" s="172"/>
      <c r="C145" s="172"/>
      <c r="D145" s="172"/>
      <c r="E145" s="172"/>
      <c r="F145" s="172"/>
      <c r="G145" s="172"/>
      <c r="H145" s="172"/>
      <c r="I145" s="172"/>
      <c r="J145" s="172"/>
      <c r="K145" s="172"/>
    </row>
    <row r="146" spans="1:20" ht="17.25" customHeight="1" x14ac:dyDescent="0.25">
      <c r="A146" s="54" t="s">
        <v>7</v>
      </c>
      <c r="B146" s="171" t="s">
        <v>117</v>
      </c>
      <c r="C146" s="171"/>
      <c r="D146" s="171"/>
      <c r="E146" s="171"/>
      <c r="F146" s="171"/>
      <c r="G146" s="171"/>
      <c r="H146" s="171"/>
      <c r="I146" s="171"/>
      <c r="J146" s="171"/>
      <c r="K146" s="59">
        <f>UNIFORMES!F11</f>
        <v>81.304999999999993</v>
      </c>
    </row>
    <row r="147" spans="1:20" ht="17.25" customHeight="1" x14ac:dyDescent="0.25">
      <c r="A147" s="54" t="s">
        <v>9</v>
      </c>
      <c r="B147" s="171" t="s">
        <v>118</v>
      </c>
      <c r="C147" s="171"/>
      <c r="D147" s="171"/>
      <c r="E147" s="171"/>
      <c r="F147" s="171"/>
      <c r="G147" s="171"/>
      <c r="H147" s="171"/>
      <c r="I147" s="171"/>
      <c r="J147" s="171"/>
      <c r="K147" s="59">
        <f>INSUMOS!H21+INSUMOS!H51</f>
        <v>292.43188499999997</v>
      </c>
    </row>
    <row r="148" spans="1:20" ht="17.25" customHeight="1" x14ac:dyDescent="0.25">
      <c r="A148" s="54" t="s">
        <v>11</v>
      </c>
      <c r="B148" s="185" t="s">
        <v>49</v>
      </c>
      <c r="C148" s="185"/>
      <c r="D148" s="185"/>
      <c r="E148" s="185"/>
      <c r="F148" s="185"/>
      <c r="G148" s="185"/>
      <c r="H148" s="185"/>
      <c r="I148" s="185"/>
      <c r="J148" s="185"/>
      <c r="K148" s="59"/>
      <c r="M148" s="132"/>
      <c r="N148" s="132"/>
      <c r="O148" s="133"/>
      <c r="P148" s="133"/>
    </row>
    <row r="149" spans="1:20" ht="17.25" customHeight="1" x14ac:dyDescent="0.25">
      <c r="A149" s="172" t="s">
        <v>119</v>
      </c>
      <c r="B149" s="172"/>
      <c r="C149" s="172"/>
      <c r="D149" s="172"/>
      <c r="E149" s="172"/>
      <c r="F149" s="172"/>
      <c r="G149" s="172"/>
      <c r="H149" s="172"/>
      <c r="I149" s="172"/>
      <c r="J149" s="172"/>
      <c r="K149" s="29">
        <f>SUM(K146:K148)</f>
        <v>373.73688499999997</v>
      </c>
      <c r="M149" s="133"/>
      <c r="N149" s="133"/>
      <c r="O149" s="133"/>
      <c r="P149" s="133"/>
    </row>
    <row r="150" spans="1:20" s="134" customFormat="1" ht="17.25" customHeight="1" x14ac:dyDescent="0.25">
      <c r="A150" s="246"/>
      <c r="B150" s="246"/>
      <c r="C150" s="246"/>
      <c r="D150" s="246"/>
      <c r="E150" s="246"/>
      <c r="F150" s="246"/>
      <c r="G150" s="246"/>
      <c r="H150" s="246"/>
      <c r="I150" s="246"/>
      <c r="J150" s="246"/>
      <c r="K150" s="246"/>
      <c r="M150" s="127"/>
      <c r="N150" s="127"/>
      <c r="O150" s="127"/>
      <c r="P150" s="127"/>
      <c r="Q150" s="127"/>
      <c r="R150" s="127"/>
      <c r="S150" s="127"/>
      <c r="T150" s="127"/>
    </row>
    <row r="151" spans="1:20" ht="17.25" customHeight="1" x14ac:dyDescent="0.25">
      <c r="A151" s="172" t="s">
        <v>120</v>
      </c>
      <c r="B151" s="172"/>
      <c r="C151" s="172"/>
      <c r="D151" s="172"/>
      <c r="E151" s="172"/>
      <c r="F151" s="172"/>
      <c r="G151" s="172"/>
      <c r="H151" s="172"/>
      <c r="I151" s="172"/>
      <c r="J151" s="172"/>
      <c r="K151" s="17">
        <f>SUM(K35,K83,K110,K143,K149)</f>
        <v>3903.2768849999998</v>
      </c>
      <c r="M151" s="135"/>
    </row>
    <row r="152" spans="1:20" s="134" customFormat="1" ht="17.25" customHeight="1" x14ac:dyDescent="0.25">
      <c r="A152" s="246"/>
      <c r="B152" s="246"/>
      <c r="C152" s="246"/>
      <c r="D152" s="246"/>
      <c r="E152" s="246"/>
      <c r="F152" s="246"/>
      <c r="G152" s="246"/>
      <c r="H152" s="246"/>
      <c r="I152" s="246"/>
      <c r="J152" s="246"/>
      <c r="K152" s="246"/>
      <c r="M152" s="127"/>
      <c r="N152" s="127"/>
      <c r="O152" s="127"/>
      <c r="P152" s="127"/>
      <c r="Q152" s="127"/>
      <c r="R152" s="127"/>
      <c r="S152" s="127"/>
      <c r="T152" s="127"/>
    </row>
    <row r="153" spans="1:20" ht="6.75" customHeight="1" x14ac:dyDescent="0.25">
      <c r="A153" s="165"/>
      <c r="B153" s="165"/>
      <c r="C153" s="165"/>
      <c r="D153" s="165"/>
      <c r="E153" s="165"/>
      <c r="F153" s="165"/>
      <c r="G153" s="165"/>
      <c r="H153" s="165"/>
      <c r="I153" s="165"/>
      <c r="J153" s="165"/>
      <c r="K153" s="165"/>
    </row>
    <row r="154" spans="1:20" ht="17.25" customHeight="1" x14ac:dyDescent="0.25">
      <c r="A154" s="172" t="s">
        <v>121</v>
      </c>
      <c r="B154" s="172"/>
      <c r="C154" s="172"/>
      <c r="D154" s="172"/>
      <c r="E154" s="172"/>
      <c r="F154" s="172"/>
      <c r="G154" s="172"/>
      <c r="H154" s="172"/>
      <c r="I154" s="172"/>
      <c r="J154" s="172"/>
      <c r="K154" s="172"/>
    </row>
    <row r="155" spans="1:20" ht="17.25" customHeight="1" x14ac:dyDescent="0.25">
      <c r="A155" s="201"/>
      <c r="B155" s="201"/>
      <c r="C155" s="201"/>
      <c r="D155" s="201"/>
      <c r="E155" s="201"/>
      <c r="F155" s="201"/>
      <c r="G155" s="172" t="s">
        <v>53</v>
      </c>
      <c r="H155" s="172"/>
      <c r="I155" s="247" t="s">
        <v>122</v>
      </c>
      <c r="J155" s="247"/>
      <c r="K155" s="53" t="s">
        <v>35</v>
      </c>
    </row>
    <row r="156" spans="1:20" ht="17.25" customHeight="1" x14ac:dyDescent="0.25">
      <c r="A156" s="54" t="s">
        <v>7</v>
      </c>
      <c r="B156" s="171" t="s">
        <v>123</v>
      </c>
      <c r="C156" s="171"/>
      <c r="D156" s="171"/>
      <c r="E156" s="171"/>
      <c r="F156" s="171"/>
      <c r="G156" s="192">
        <v>5.8099999999999999E-2</v>
      </c>
      <c r="H156" s="192"/>
      <c r="I156" s="202">
        <f>K151</f>
        <v>3903.2768849999998</v>
      </c>
      <c r="J156" s="202"/>
      <c r="K156" s="52">
        <f>ROUND(I156*G156,2)</f>
        <v>226.78</v>
      </c>
      <c r="M156" s="252" t="s">
        <v>222</v>
      </c>
      <c r="N156" s="253"/>
      <c r="O156" s="253"/>
      <c r="P156" s="253"/>
      <c r="Q156" s="253"/>
      <c r="R156" s="253"/>
      <c r="S156" s="253"/>
      <c r="T156" s="254"/>
    </row>
    <row r="157" spans="1:20" ht="17.25" customHeight="1" x14ac:dyDescent="0.25">
      <c r="A157" s="54" t="s">
        <v>9</v>
      </c>
      <c r="B157" s="171" t="s">
        <v>124</v>
      </c>
      <c r="C157" s="171"/>
      <c r="D157" s="171"/>
      <c r="E157" s="171"/>
      <c r="F157" s="171"/>
      <c r="G157" s="192">
        <v>7.1999999999999995E-2</v>
      </c>
      <c r="H157" s="192"/>
      <c r="I157" s="202">
        <f>I156+K156</f>
        <v>4130.056885</v>
      </c>
      <c r="J157" s="202"/>
      <c r="K157" s="52">
        <f>ROUND(I157*G157,2)</f>
        <v>297.36</v>
      </c>
      <c r="M157" s="255"/>
      <c r="N157" s="256"/>
      <c r="O157" s="256"/>
      <c r="P157" s="256"/>
      <c r="Q157" s="256"/>
      <c r="R157" s="256"/>
      <c r="S157" s="256"/>
      <c r="T157" s="257"/>
    </row>
    <row r="158" spans="1:20" ht="17.25" customHeight="1" x14ac:dyDescent="0.25">
      <c r="A158" s="167" t="s">
        <v>11</v>
      </c>
      <c r="B158" s="167" t="s">
        <v>125</v>
      </c>
      <c r="C158" s="167"/>
      <c r="D158" s="167" t="s">
        <v>126</v>
      </c>
      <c r="E158" s="167"/>
      <c r="F158" s="54" t="s">
        <v>127</v>
      </c>
      <c r="G158" s="192">
        <v>6.4999999999999997E-3</v>
      </c>
      <c r="H158" s="192"/>
      <c r="I158" s="202">
        <f>I157+K157</f>
        <v>4427.4168849999996</v>
      </c>
      <c r="J158" s="202"/>
      <c r="K158" s="52">
        <f>ROUND(($I$158/(1-$G$165)*G158),2)</f>
        <v>30.5</v>
      </c>
      <c r="M158" s="248" t="s">
        <v>128</v>
      </c>
      <c r="N158" s="248"/>
      <c r="O158" s="248"/>
      <c r="P158" s="248"/>
      <c r="Q158" s="248"/>
      <c r="R158" s="248"/>
      <c r="S158" s="248"/>
      <c r="T158" s="248"/>
    </row>
    <row r="159" spans="1:20" ht="17.25" customHeight="1" x14ac:dyDescent="0.25">
      <c r="A159" s="167"/>
      <c r="B159" s="167"/>
      <c r="C159" s="167"/>
      <c r="D159" s="167"/>
      <c r="E159" s="167"/>
      <c r="F159" s="54" t="s">
        <v>129</v>
      </c>
      <c r="G159" s="192">
        <v>0.03</v>
      </c>
      <c r="H159" s="192"/>
      <c r="I159" s="202"/>
      <c r="J159" s="202"/>
      <c r="K159" s="52">
        <f>ROUND(($I$158/(1-$G$165)*G159),2)</f>
        <v>140.78</v>
      </c>
      <c r="M159" s="249" t="s">
        <v>130</v>
      </c>
      <c r="N159" s="250"/>
      <c r="O159" s="250"/>
      <c r="P159" s="250"/>
      <c r="Q159" s="250"/>
      <c r="R159" s="250"/>
      <c r="S159" s="250"/>
      <c r="T159" s="251"/>
    </row>
    <row r="160" spans="1:20" ht="17.25" customHeight="1" x14ac:dyDescent="0.25">
      <c r="A160" s="167"/>
      <c r="B160" s="167"/>
      <c r="C160" s="167"/>
      <c r="D160" s="167"/>
      <c r="E160" s="167"/>
      <c r="F160" s="56" t="s">
        <v>131</v>
      </c>
      <c r="G160" s="192"/>
      <c r="H160" s="192"/>
      <c r="I160" s="202"/>
      <c r="J160" s="202"/>
      <c r="K160" s="52">
        <f>ROUND(($I$158/(1-$G$165)*G160),2)</f>
        <v>0</v>
      </c>
      <c r="M160" s="249" t="s">
        <v>132</v>
      </c>
      <c r="N160" s="250"/>
      <c r="O160" s="250"/>
      <c r="P160" s="250"/>
      <c r="Q160" s="250"/>
      <c r="R160" s="250"/>
      <c r="S160" s="250"/>
      <c r="T160" s="251"/>
    </row>
    <row r="161" spans="1:13" ht="17.25" customHeight="1" x14ac:dyDescent="0.25">
      <c r="A161" s="167"/>
      <c r="B161" s="167"/>
      <c r="C161" s="167"/>
      <c r="D161" s="167" t="s">
        <v>133</v>
      </c>
      <c r="E161" s="167"/>
      <c r="F161" s="54" t="s">
        <v>134</v>
      </c>
      <c r="G161" s="192">
        <v>0.02</v>
      </c>
      <c r="H161" s="192"/>
      <c r="I161" s="202"/>
      <c r="J161" s="202"/>
      <c r="K161" s="202">
        <f>ROUND(($I$158/(1-$G$165)*G161),2)</f>
        <v>93.85</v>
      </c>
    </row>
    <row r="162" spans="1:13" ht="17.25" customHeight="1" x14ac:dyDescent="0.25">
      <c r="A162" s="167"/>
      <c r="B162" s="167"/>
      <c r="C162" s="167"/>
      <c r="D162" s="167"/>
      <c r="E162" s="167"/>
      <c r="F162" s="30" t="str">
        <f>K11</f>
        <v>Araçatuba / SP</v>
      </c>
      <c r="G162" s="192"/>
      <c r="H162" s="192"/>
      <c r="I162" s="202"/>
      <c r="J162" s="202"/>
      <c r="K162" s="202"/>
    </row>
    <row r="163" spans="1:13" ht="17.25" customHeight="1" x14ac:dyDescent="0.25">
      <c r="A163" s="167"/>
      <c r="B163" s="167"/>
      <c r="C163" s="167"/>
      <c r="D163" s="167"/>
      <c r="E163" s="167"/>
      <c r="F163" s="56" t="s">
        <v>131</v>
      </c>
      <c r="G163" s="192"/>
      <c r="H163" s="192"/>
      <c r="I163" s="202"/>
      <c r="J163" s="202"/>
      <c r="K163" s="52">
        <f>ROUND(($I$158/(1-$G$165)*G163),2)</f>
        <v>0</v>
      </c>
    </row>
    <row r="164" spans="1:13" ht="17.25" customHeight="1" x14ac:dyDescent="0.25">
      <c r="A164" s="167"/>
      <c r="B164" s="167"/>
      <c r="C164" s="167"/>
      <c r="D164" s="211" t="s">
        <v>135</v>
      </c>
      <c r="E164" s="211"/>
      <c r="F164" s="56"/>
      <c r="G164" s="192"/>
      <c r="H164" s="192"/>
      <c r="I164" s="202"/>
      <c r="J164" s="202"/>
      <c r="K164" s="52">
        <f>ROUND(($I$158/(1-$G$165)*G164),2)</f>
        <v>0</v>
      </c>
    </row>
    <row r="165" spans="1:13" ht="17.25" customHeight="1" x14ac:dyDescent="0.25">
      <c r="A165" s="167"/>
      <c r="B165" s="212" t="s">
        <v>136</v>
      </c>
      <c r="C165" s="212"/>
      <c r="D165" s="212"/>
      <c r="E165" s="212"/>
      <c r="F165" s="212"/>
      <c r="G165" s="258">
        <f>SUM(G158:H164)</f>
        <v>5.6499999999999995E-2</v>
      </c>
      <c r="H165" s="258"/>
      <c r="I165" s="259"/>
      <c r="J165" s="259"/>
      <c r="K165" s="31"/>
      <c r="M165" s="136"/>
    </row>
    <row r="166" spans="1:13" ht="17.25" customHeight="1" x14ac:dyDescent="0.25">
      <c r="A166" s="172" t="s">
        <v>137</v>
      </c>
      <c r="B166" s="172"/>
      <c r="C166" s="172"/>
      <c r="D166" s="172"/>
      <c r="E166" s="172"/>
      <c r="F166" s="172"/>
      <c r="G166" s="172"/>
      <c r="H166" s="172"/>
      <c r="I166" s="260">
        <f>((1+G156)*(1+G157))/(1-G165)-1</f>
        <v>0.20220794912559614</v>
      </c>
      <c r="J166" s="260"/>
      <c r="K166" s="17">
        <f>ROUND(SUM(K156:K164),2)</f>
        <v>789.27</v>
      </c>
    </row>
    <row r="167" spans="1:13" ht="6" customHeight="1" x14ac:dyDescent="0.25">
      <c r="A167" s="167"/>
      <c r="B167" s="167"/>
      <c r="C167" s="167"/>
      <c r="D167" s="167"/>
      <c r="E167" s="167"/>
      <c r="F167" s="167"/>
      <c r="G167" s="167"/>
      <c r="H167" s="167"/>
      <c r="I167" s="167"/>
      <c r="J167" s="167"/>
      <c r="K167" s="167"/>
    </row>
    <row r="168" spans="1:13" ht="19.5" customHeight="1" x14ac:dyDescent="0.25">
      <c r="A168" s="261" t="s">
        <v>138</v>
      </c>
      <c r="B168" s="261"/>
      <c r="C168" s="261"/>
      <c r="D168" s="261"/>
      <c r="E168" s="261"/>
      <c r="F168" s="261"/>
      <c r="G168" s="261"/>
      <c r="H168" s="261"/>
      <c r="I168" s="261"/>
      <c r="J168" s="261"/>
      <c r="K168" s="55" t="s">
        <v>35</v>
      </c>
    </row>
    <row r="169" spans="1:13" ht="17.25" customHeight="1" x14ac:dyDescent="0.25">
      <c r="A169" s="54" t="s">
        <v>7</v>
      </c>
      <c r="B169" s="171" t="s">
        <v>60</v>
      </c>
      <c r="C169" s="171"/>
      <c r="D169" s="171"/>
      <c r="E169" s="171"/>
      <c r="F169" s="171"/>
      <c r="G169" s="171"/>
      <c r="H169" s="171"/>
      <c r="I169" s="171"/>
      <c r="J169" s="171"/>
      <c r="K169" s="52">
        <f>K35</f>
        <v>1481.56</v>
      </c>
    </row>
    <row r="170" spans="1:13" ht="17.25" customHeight="1" x14ac:dyDescent="0.25">
      <c r="A170" s="54" t="s">
        <v>9</v>
      </c>
      <c r="B170" s="171" t="s">
        <v>108</v>
      </c>
      <c r="C170" s="171"/>
      <c r="D170" s="171"/>
      <c r="E170" s="171"/>
      <c r="F170" s="171"/>
      <c r="G170" s="171"/>
      <c r="H170" s="171"/>
      <c r="I170" s="171"/>
      <c r="J170" s="171"/>
      <c r="K170" s="52">
        <f>K83</f>
        <v>1620.21</v>
      </c>
    </row>
    <row r="171" spans="1:13" ht="17.25" customHeight="1" x14ac:dyDescent="0.25">
      <c r="A171" s="54" t="s">
        <v>11</v>
      </c>
      <c r="B171" s="171" t="s">
        <v>109</v>
      </c>
      <c r="C171" s="171"/>
      <c r="D171" s="171"/>
      <c r="E171" s="171"/>
      <c r="F171" s="171"/>
      <c r="G171" s="171"/>
      <c r="H171" s="171"/>
      <c r="I171" s="171"/>
      <c r="J171" s="171"/>
      <c r="K171" s="52">
        <f>K110</f>
        <v>164.64</v>
      </c>
    </row>
    <row r="172" spans="1:13" ht="17.25" customHeight="1" x14ac:dyDescent="0.25">
      <c r="A172" s="54" t="s">
        <v>14</v>
      </c>
      <c r="B172" s="171" t="s">
        <v>139</v>
      </c>
      <c r="C172" s="171"/>
      <c r="D172" s="171"/>
      <c r="E172" s="171"/>
      <c r="F172" s="171"/>
      <c r="G172" s="171"/>
      <c r="H172" s="171"/>
      <c r="I172" s="171"/>
      <c r="J172" s="171"/>
      <c r="K172" s="52">
        <f>K143</f>
        <v>263.13</v>
      </c>
    </row>
    <row r="173" spans="1:13" ht="17.25" customHeight="1" x14ac:dyDescent="0.25">
      <c r="A173" s="54" t="s">
        <v>16</v>
      </c>
      <c r="B173" s="171" t="s">
        <v>140</v>
      </c>
      <c r="C173" s="171"/>
      <c r="D173" s="171"/>
      <c r="E173" s="171"/>
      <c r="F173" s="171"/>
      <c r="G173" s="171"/>
      <c r="H173" s="171"/>
      <c r="I173" s="171"/>
      <c r="J173" s="171"/>
      <c r="K173" s="52">
        <f>K149</f>
        <v>373.73688499999997</v>
      </c>
    </row>
    <row r="174" spans="1:13" ht="17.25" customHeight="1" x14ac:dyDescent="0.25">
      <c r="A174" s="54" t="s">
        <v>18</v>
      </c>
      <c r="B174" s="171" t="s">
        <v>141</v>
      </c>
      <c r="C174" s="171"/>
      <c r="D174" s="171"/>
      <c r="E174" s="171"/>
      <c r="F174" s="171"/>
      <c r="G174" s="171"/>
      <c r="H174" s="171"/>
      <c r="I174" s="171"/>
      <c r="J174" s="171"/>
      <c r="K174" s="52">
        <f>K166</f>
        <v>789.27</v>
      </c>
      <c r="M174" s="133"/>
    </row>
    <row r="175" spans="1:13" ht="18" customHeight="1" x14ac:dyDescent="0.25">
      <c r="A175" s="261" t="s">
        <v>142</v>
      </c>
      <c r="B175" s="261"/>
      <c r="C175" s="261"/>
      <c r="D175" s="261"/>
      <c r="E175" s="261"/>
      <c r="F175" s="261"/>
      <c r="G175" s="261"/>
      <c r="H175" s="261"/>
      <c r="I175" s="261"/>
      <c r="J175" s="261"/>
      <c r="K175" s="32">
        <f>ROUND(SUM(K169:K174),2)</f>
        <v>4692.55</v>
      </c>
    </row>
    <row r="176" spans="1:13" ht="6" customHeight="1" x14ac:dyDescent="0.25">
      <c r="A176" s="262"/>
      <c r="B176" s="262"/>
      <c r="C176" s="262"/>
      <c r="D176" s="262"/>
      <c r="E176" s="262"/>
      <c r="F176" s="262"/>
      <c r="G176" s="262"/>
      <c r="H176" s="262"/>
      <c r="I176" s="262"/>
      <c r="J176" s="262"/>
      <c r="K176" s="262"/>
    </row>
    <row r="177" spans="1:11" ht="6" customHeight="1" x14ac:dyDescent="0.25">
      <c r="A177" s="137"/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</row>
    <row r="178" spans="1:11" ht="6" customHeight="1" x14ac:dyDescent="0.25">
      <c r="A178" s="137"/>
      <c r="B178" s="137"/>
      <c r="C178" s="137"/>
      <c r="D178" s="137"/>
      <c r="E178" s="137"/>
      <c r="F178" s="137"/>
      <c r="G178" s="137"/>
      <c r="H178" s="137"/>
      <c r="I178" s="137"/>
      <c r="J178" s="137"/>
      <c r="K178" s="137"/>
    </row>
    <row r="180" spans="1:11" x14ac:dyDescent="0.25">
      <c r="A180" s="263" t="s">
        <v>178</v>
      </c>
      <c r="B180" s="263"/>
      <c r="C180" s="263"/>
      <c r="D180" s="263"/>
      <c r="E180" s="263"/>
      <c r="F180" s="263"/>
      <c r="G180" s="263"/>
      <c r="H180" s="263"/>
      <c r="I180" s="263"/>
      <c r="J180" s="263"/>
      <c r="K180" s="263"/>
    </row>
  </sheetData>
  <mergeCells count="280">
    <mergeCell ref="B174:J174"/>
    <mergeCell ref="A175:J175"/>
    <mergeCell ref="A176:K176"/>
    <mergeCell ref="A180:K180"/>
    <mergeCell ref="A168:J168"/>
    <mergeCell ref="B169:J169"/>
    <mergeCell ref="B170:J170"/>
    <mergeCell ref="B171:J171"/>
    <mergeCell ref="B172:J172"/>
    <mergeCell ref="B173:J173"/>
    <mergeCell ref="B165:F165"/>
    <mergeCell ref="G165:H165"/>
    <mergeCell ref="I165:J165"/>
    <mergeCell ref="A166:H166"/>
    <mergeCell ref="I166:J166"/>
    <mergeCell ref="A167:K167"/>
    <mergeCell ref="D161:E163"/>
    <mergeCell ref="G161:H162"/>
    <mergeCell ref="K161:K162"/>
    <mergeCell ref="G163:H163"/>
    <mergeCell ref="D164:E164"/>
    <mergeCell ref="G164:H164"/>
    <mergeCell ref="A158:A165"/>
    <mergeCell ref="B158:C164"/>
    <mergeCell ref="D158:E160"/>
    <mergeCell ref="G158:H158"/>
    <mergeCell ref="I158:J164"/>
    <mergeCell ref="M158:T158"/>
    <mergeCell ref="G159:H159"/>
    <mergeCell ref="M159:T159"/>
    <mergeCell ref="G160:H160"/>
    <mergeCell ref="M160:T160"/>
    <mergeCell ref="B156:F156"/>
    <mergeCell ref="G156:H156"/>
    <mergeCell ref="I156:J156"/>
    <mergeCell ref="M156:T157"/>
    <mergeCell ref="B157:F157"/>
    <mergeCell ref="G157:H157"/>
    <mergeCell ref="I157:J157"/>
    <mergeCell ref="A150:K150"/>
    <mergeCell ref="A151:J151"/>
    <mergeCell ref="A152:K152"/>
    <mergeCell ref="A153:K153"/>
    <mergeCell ref="A154:K154"/>
    <mergeCell ref="A155:F155"/>
    <mergeCell ref="G155:H155"/>
    <mergeCell ref="I155:J155"/>
    <mergeCell ref="A144:K144"/>
    <mergeCell ref="A145:K145"/>
    <mergeCell ref="B146:J146"/>
    <mergeCell ref="B147:J147"/>
    <mergeCell ref="B148:J148"/>
    <mergeCell ref="A149:J149"/>
    <mergeCell ref="A138:K138"/>
    <mergeCell ref="A139:J139"/>
    <mergeCell ref="B140:J140"/>
    <mergeCell ref="A141:J141"/>
    <mergeCell ref="A142:K142"/>
    <mergeCell ref="A143:J143"/>
    <mergeCell ref="A132:J132"/>
    <mergeCell ref="A133:J133"/>
    <mergeCell ref="A134:J134"/>
    <mergeCell ref="A135:J135"/>
    <mergeCell ref="A136:J136"/>
    <mergeCell ref="A137:K137"/>
    <mergeCell ref="A127:E127"/>
    <mergeCell ref="H127:J127"/>
    <mergeCell ref="A128:J128"/>
    <mergeCell ref="A129:J129"/>
    <mergeCell ref="A130:J130"/>
    <mergeCell ref="A131:J131"/>
    <mergeCell ref="A124:E124"/>
    <mergeCell ref="H124:J124"/>
    <mergeCell ref="A125:E125"/>
    <mergeCell ref="H125:J125"/>
    <mergeCell ref="A126:E126"/>
    <mergeCell ref="H126:J126"/>
    <mergeCell ref="A114:K114"/>
    <mergeCell ref="A121:E121"/>
    <mergeCell ref="H121:J121"/>
    <mergeCell ref="A122:E122"/>
    <mergeCell ref="H122:J122"/>
    <mergeCell ref="A123:E123"/>
    <mergeCell ref="H123:J123"/>
    <mergeCell ref="A118:E118"/>
    <mergeCell ref="H118:J118"/>
    <mergeCell ref="A119:E119"/>
    <mergeCell ref="H119:J119"/>
    <mergeCell ref="A120:E120"/>
    <mergeCell ref="H120:J120"/>
    <mergeCell ref="A84:K84"/>
    <mergeCell ref="A85:K85"/>
    <mergeCell ref="A103:J103"/>
    <mergeCell ref="A104:K104"/>
    <mergeCell ref="A105:J105"/>
    <mergeCell ref="A106:J106"/>
    <mergeCell ref="A107:G108"/>
    <mergeCell ref="H107:J107"/>
    <mergeCell ref="H108:J108"/>
    <mergeCell ref="A97:J97"/>
    <mergeCell ref="A98:K98"/>
    <mergeCell ref="A99:J99"/>
    <mergeCell ref="A100:J100"/>
    <mergeCell ref="A101:G102"/>
    <mergeCell ref="H101:J101"/>
    <mergeCell ref="H102:J102"/>
    <mergeCell ref="M85:T136"/>
    <mergeCell ref="A86:K86"/>
    <mergeCell ref="A87:J87"/>
    <mergeCell ref="A88:J88"/>
    <mergeCell ref="A89:J89"/>
    <mergeCell ref="A90:J90"/>
    <mergeCell ref="A91:J91"/>
    <mergeCell ref="A92:J92"/>
    <mergeCell ref="A93:J93"/>
    <mergeCell ref="A94:J94"/>
    <mergeCell ref="A95:G96"/>
    <mergeCell ref="H95:J95"/>
    <mergeCell ref="H96:J96"/>
    <mergeCell ref="A115:E115"/>
    <mergeCell ref="H115:J115"/>
    <mergeCell ref="A116:E116"/>
    <mergeCell ref="H116:J116"/>
    <mergeCell ref="A117:E117"/>
    <mergeCell ref="H117:J117"/>
    <mergeCell ref="A109:J109"/>
    <mergeCell ref="A110:J110"/>
    <mergeCell ref="A111:K111"/>
    <mergeCell ref="A112:K112"/>
    <mergeCell ref="A113:K113"/>
    <mergeCell ref="B81:J81"/>
    <mergeCell ref="A82:J82"/>
    <mergeCell ref="A83:J83"/>
    <mergeCell ref="A78:A80"/>
    <mergeCell ref="B78:F78"/>
    <mergeCell ref="G78:J78"/>
    <mergeCell ref="K78:K80"/>
    <mergeCell ref="B79:F79"/>
    <mergeCell ref="G79:J79"/>
    <mergeCell ref="B80:F80"/>
    <mergeCell ref="G80:J80"/>
    <mergeCell ref="A75:A77"/>
    <mergeCell ref="B75:F75"/>
    <mergeCell ref="G75:J75"/>
    <mergeCell ref="K75:K77"/>
    <mergeCell ref="M75:T77"/>
    <mergeCell ref="B76:E76"/>
    <mergeCell ref="G76:J76"/>
    <mergeCell ref="B77:E77"/>
    <mergeCell ref="G77:J77"/>
    <mergeCell ref="A72:A74"/>
    <mergeCell ref="B72:F72"/>
    <mergeCell ref="G72:J72"/>
    <mergeCell ref="K72:K74"/>
    <mergeCell ref="B73:F73"/>
    <mergeCell ref="G73:J73"/>
    <mergeCell ref="B74:F74"/>
    <mergeCell ref="G74:J74"/>
    <mergeCell ref="A69:A71"/>
    <mergeCell ref="B69:F69"/>
    <mergeCell ref="G69:J69"/>
    <mergeCell ref="K69:K71"/>
    <mergeCell ref="B70:F70"/>
    <mergeCell ref="G70:J70"/>
    <mergeCell ref="B71:F71"/>
    <mergeCell ref="G71:J71"/>
    <mergeCell ref="A66:A68"/>
    <mergeCell ref="B66:F66"/>
    <mergeCell ref="G66:J66"/>
    <mergeCell ref="K66:K68"/>
    <mergeCell ref="B67:D67"/>
    <mergeCell ref="E67:F67"/>
    <mergeCell ref="G67:J67"/>
    <mergeCell ref="B68:D68"/>
    <mergeCell ref="E68:F68"/>
    <mergeCell ref="G68:J68"/>
    <mergeCell ref="A63:A65"/>
    <mergeCell ref="B63:F63"/>
    <mergeCell ref="G63:J63"/>
    <mergeCell ref="K63:K65"/>
    <mergeCell ref="B64:D64"/>
    <mergeCell ref="G64:J64"/>
    <mergeCell ref="B65:D65"/>
    <mergeCell ref="G65:J65"/>
    <mergeCell ref="A59:H59"/>
    <mergeCell ref="I59:J59"/>
    <mergeCell ref="A60:K60"/>
    <mergeCell ref="A61:K61"/>
    <mergeCell ref="M61:T62"/>
    <mergeCell ref="A62:J62"/>
    <mergeCell ref="B56:H56"/>
    <mergeCell ref="I56:J56"/>
    <mergeCell ref="B57:H57"/>
    <mergeCell ref="I57:J57"/>
    <mergeCell ref="B58:H58"/>
    <mergeCell ref="I58:J58"/>
    <mergeCell ref="K52:K53"/>
    <mergeCell ref="M52:T53"/>
    <mergeCell ref="B54:H54"/>
    <mergeCell ref="I54:J54"/>
    <mergeCell ref="B55:H55"/>
    <mergeCell ref="I55:J55"/>
    <mergeCell ref="B50:H50"/>
    <mergeCell ref="I50:J50"/>
    <mergeCell ref="B51:H51"/>
    <mergeCell ref="I51:J51"/>
    <mergeCell ref="A52:A53"/>
    <mergeCell ref="B52:F53"/>
    <mergeCell ref="I52:J53"/>
    <mergeCell ref="A44:K44"/>
    <mergeCell ref="A45:K45"/>
    <mergeCell ref="A46:J46"/>
    <mergeCell ref="A47:J47"/>
    <mergeCell ref="A48:J48"/>
    <mergeCell ref="A49:H49"/>
    <mergeCell ref="I49:J49"/>
    <mergeCell ref="M40:T42"/>
    <mergeCell ref="B41:H41"/>
    <mergeCell ref="I41:J41"/>
    <mergeCell ref="B42:H42"/>
    <mergeCell ref="I42:J42"/>
    <mergeCell ref="A43:H43"/>
    <mergeCell ref="I43:J43"/>
    <mergeCell ref="A37:K37"/>
    <mergeCell ref="A38:K38"/>
    <mergeCell ref="A39:H39"/>
    <mergeCell ref="I39:J39"/>
    <mergeCell ref="B40:H40"/>
    <mergeCell ref="I40:J40"/>
    <mergeCell ref="K31:K33"/>
    <mergeCell ref="M31:T33"/>
    <mergeCell ref="I33:J33"/>
    <mergeCell ref="B34:J34"/>
    <mergeCell ref="A35:J35"/>
    <mergeCell ref="A36:K36"/>
    <mergeCell ref="B30:G30"/>
    <mergeCell ref="I30:J30"/>
    <mergeCell ref="A31:A33"/>
    <mergeCell ref="B31:F33"/>
    <mergeCell ref="G31:G32"/>
    <mergeCell ref="H31:H32"/>
    <mergeCell ref="I31:J32"/>
    <mergeCell ref="M26:T26"/>
    <mergeCell ref="B27:G27"/>
    <mergeCell ref="I27:J27"/>
    <mergeCell ref="B28:G28"/>
    <mergeCell ref="I28:J28"/>
    <mergeCell ref="B29:G29"/>
    <mergeCell ref="I29:J29"/>
    <mergeCell ref="B21:J21"/>
    <mergeCell ref="B22:J22"/>
    <mergeCell ref="A23:K23"/>
    <mergeCell ref="A24:K24"/>
    <mergeCell ref="A25:J25"/>
    <mergeCell ref="B26:G26"/>
    <mergeCell ref="I26:J26"/>
    <mergeCell ref="B15:J15"/>
    <mergeCell ref="B16:J16"/>
    <mergeCell ref="B17:J17"/>
    <mergeCell ref="B18:J18"/>
    <mergeCell ref="B19:J19"/>
    <mergeCell ref="B20:J20"/>
    <mergeCell ref="A9:K9"/>
    <mergeCell ref="B10:J10"/>
    <mergeCell ref="B11:J11"/>
    <mergeCell ref="B12:J12"/>
    <mergeCell ref="B13:J13"/>
    <mergeCell ref="B14:J14"/>
    <mergeCell ref="A5:C5"/>
    <mergeCell ref="D5:K5"/>
    <mergeCell ref="A6:C6"/>
    <mergeCell ref="D6:K6"/>
    <mergeCell ref="A7:K7"/>
    <mergeCell ref="A8:K8"/>
    <mergeCell ref="A1:K1"/>
    <mergeCell ref="A2:K2"/>
    <mergeCell ref="A3:C3"/>
    <mergeCell ref="D3:K3"/>
    <mergeCell ref="A4:C4"/>
    <mergeCell ref="D4:K4"/>
  </mergeCells>
  <dataValidations count="1">
    <dataValidation type="custom" allowBlank="1" showInputMessage="1" showErrorMessage="1" sqref="O49">
      <formula1>"0,5 a 1"</formula1>
    </dataValidation>
  </dataValidations>
  <pageMargins left="0.51181102362204722" right="0.51181102362204722" top="0.78740157480314965" bottom="0.78740157480314965" header="0.31496062992125984" footer="0.31496062992125984"/>
  <pageSetup paperSize="9" scale="25" orientation="portrait" r:id="rId1"/>
  <rowBreaks count="1" manualBreakCount="1">
    <brk id="60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80"/>
  <sheetViews>
    <sheetView showGridLines="0" view="pageBreakPreview" zoomScaleNormal="115" zoomScaleSheetLayoutView="100" workbookViewId="0">
      <selection activeCell="D5" sqref="D5:K5"/>
    </sheetView>
  </sheetViews>
  <sheetFormatPr defaultColWidth="8.7109375" defaultRowHeight="15" x14ac:dyDescent="0.25"/>
  <cols>
    <col min="1" max="1" width="7.140625" style="126" customWidth="1"/>
    <col min="2" max="2" width="6.7109375" style="126" customWidth="1"/>
    <col min="3" max="3" width="6.28515625" style="126" customWidth="1"/>
    <col min="4" max="4" width="8.7109375" style="126"/>
    <col min="5" max="5" width="11.28515625" style="126" customWidth="1"/>
    <col min="6" max="6" width="19.140625" style="126" customWidth="1"/>
    <col min="7" max="7" width="11.85546875" style="126" customWidth="1"/>
    <col min="8" max="8" width="10.7109375" style="126" customWidth="1"/>
    <col min="9" max="9" width="8.7109375" style="126"/>
    <col min="10" max="10" width="7" style="126" customWidth="1"/>
    <col min="11" max="11" width="37.140625" style="138" customWidth="1"/>
    <col min="12" max="12" width="3.42578125" style="126" customWidth="1"/>
    <col min="13" max="13" width="11.140625" style="127" bestFit="1" customWidth="1"/>
    <col min="14" max="14" width="11.7109375" style="127" bestFit="1" customWidth="1"/>
    <col min="15" max="19" width="8.7109375" style="127"/>
    <col min="20" max="20" width="19.5703125" style="127" customWidth="1"/>
    <col min="21" max="16384" width="8.7109375" style="126"/>
  </cols>
  <sheetData>
    <row r="1" spans="1:12" ht="21.75" customHeight="1" x14ac:dyDescent="0.25">
      <c r="A1" s="166" t="s">
        <v>293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2" ht="6.75" customHeight="1" x14ac:dyDescent="0.2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2" x14ac:dyDescent="0.25">
      <c r="A3" s="161" t="s">
        <v>1</v>
      </c>
      <c r="B3" s="161"/>
      <c r="C3" s="161"/>
      <c r="D3" s="168" t="s">
        <v>2</v>
      </c>
      <c r="E3" s="168"/>
      <c r="F3" s="168"/>
      <c r="G3" s="168"/>
      <c r="H3" s="168"/>
      <c r="I3" s="168"/>
      <c r="J3" s="168"/>
      <c r="K3" s="168"/>
    </row>
    <row r="4" spans="1:12" ht="17.25" customHeight="1" x14ac:dyDescent="0.25">
      <c r="A4" s="161" t="s">
        <v>3</v>
      </c>
      <c r="B4" s="161"/>
      <c r="C4" s="161"/>
      <c r="D4" s="169" t="s">
        <v>324</v>
      </c>
      <c r="E4" s="169"/>
      <c r="F4" s="169"/>
      <c r="G4" s="169"/>
      <c r="H4" s="169"/>
      <c r="I4" s="169"/>
      <c r="J4" s="169"/>
      <c r="K4" s="169"/>
    </row>
    <row r="5" spans="1:12" ht="17.25" customHeight="1" x14ac:dyDescent="0.25">
      <c r="A5" s="161" t="s">
        <v>4</v>
      </c>
      <c r="B5" s="161"/>
      <c r="C5" s="161"/>
      <c r="D5" s="162"/>
      <c r="E5" s="162"/>
      <c r="F5" s="162"/>
      <c r="G5" s="162"/>
      <c r="H5" s="162"/>
      <c r="I5" s="162"/>
      <c r="J5" s="162"/>
      <c r="K5" s="162"/>
    </row>
    <row r="6" spans="1:12" ht="17.25" customHeight="1" x14ac:dyDescent="0.25">
      <c r="A6" s="161" t="s">
        <v>5</v>
      </c>
      <c r="B6" s="161"/>
      <c r="C6" s="161"/>
      <c r="D6" s="163" t="s">
        <v>309</v>
      </c>
      <c r="E6" s="163"/>
      <c r="F6" s="163"/>
      <c r="G6" s="163"/>
      <c r="H6" s="163"/>
      <c r="I6" s="163"/>
      <c r="J6" s="163"/>
      <c r="K6" s="163"/>
    </row>
    <row r="7" spans="1:12" ht="6.75" customHeight="1" x14ac:dyDescent="0.25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</row>
    <row r="8" spans="1:12" ht="6.75" customHeight="1" x14ac:dyDescent="0.25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</row>
    <row r="9" spans="1:12" ht="17.25" customHeight="1" x14ac:dyDescent="0.25">
      <c r="A9" s="172" t="s">
        <v>6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</row>
    <row r="10" spans="1:12" ht="17.25" customHeight="1" x14ac:dyDescent="0.25">
      <c r="A10" s="54" t="s">
        <v>7</v>
      </c>
      <c r="B10" s="171" t="s">
        <v>8</v>
      </c>
      <c r="C10" s="171"/>
      <c r="D10" s="171"/>
      <c r="E10" s="171"/>
      <c r="F10" s="171"/>
      <c r="G10" s="171"/>
      <c r="H10" s="171"/>
      <c r="I10" s="171"/>
      <c r="J10" s="171"/>
      <c r="K10" s="3"/>
    </row>
    <row r="11" spans="1:12" ht="16.5" customHeight="1" x14ac:dyDescent="0.25">
      <c r="A11" s="54" t="s">
        <v>9</v>
      </c>
      <c r="B11" s="171" t="s">
        <v>10</v>
      </c>
      <c r="C11" s="171"/>
      <c r="D11" s="171"/>
      <c r="E11" s="171"/>
      <c r="F11" s="171"/>
      <c r="G11" s="171"/>
      <c r="H11" s="171"/>
      <c r="I11" s="171"/>
      <c r="J11" s="171"/>
      <c r="K11" s="60" t="s">
        <v>310</v>
      </c>
    </row>
    <row r="12" spans="1:12" x14ac:dyDescent="0.25">
      <c r="A12" s="54" t="s">
        <v>11</v>
      </c>
      <c r="B12" s="171" t="s">
        <v>12</v>
      </c>
      <c r="C12" s="171"/>
      <c r="D12" s="171"/>
      <c r="E12" s="171"/>
      <c r="F12" s="171"/>
      <c r="G12" s="171"/>
      <c r="H12" s="171"/>
      <c r="I12" s="171"/>
      <c r="J12" s="171"/>
      <c r="K12" s="6" t="s">
        <v>13</v>
      </c>
    </row>
    <row r="13" spans="1:12" ht="16.5" customHeight="1" x14ac:dyDescent="0.25">
      <c r="A13" s="54" t="s">
        <v>14</v>
      </c>
      <c r="B13" s="170" t="s">
        <v>15</v>
      </c>
      <c r="C13" s="170"/>
      <c r="D13" s="170"/>
      <c r="E13" s="170"/>
      <c r="F13" s="170"/>
      <c r="G13" s="170"/>
      <c r="H13" s="170"/>
      <c r="I13" s="170"/>
      <c r="J13" s="170"/>
      <c r="K13" s="60" t="s">
        <v>207</v>
      </c>
    </row>
    <row r="14" spans="1:12" ht="16.5" customHeight="1" x14ac:dyDescent="0.25">
      <c r="A14" s="54" t="s">
        <v>16</v>
      </c>
      <c r="B14" s="170" t="s">
        <v>17</v>
      </c>
      <c r="C14" s="170"/>
      <c r="D14" s="170"/>
      <c r="E14" s="170"/>
      <c r="F14" s="170"/>
      <c r="G14" s="170"/>
      <c r="H14" s="170"/>
      <c r="I14" s="170"/>
      <c r="J14" s="170"/>
      <c r="K14" s="7" t="s">
        <v>244</v>
      </c>
    </row>
    <row r="15" spans="1:12" ht="16.5" customHeight="1" x14ac:dyDescent="0.25">
      <c r="A15" s="54" t="s">
        <v>18</v>
      </c>
      <c r="B15" s="170" t="s">
        <v>19</v>
      </c>
      <c r="C15" s="170"/>
      <c r="D15" s="170"/>
      <c r="E15" s="170"/>
      <c r="F15" s="170"/>
      <c r="G15" s="170"/>
      <c r="H15" s="170"/>
      <c r="I15" s="170"/>
      <c r="J15" s="170"/>
      <c r="K15" s="60" t="s">
        <v>20</v>
      </c>
    </row>
    <row r="16" spans="1:12" ht="25.5" x14ac:dyDescent="0.25">
      <c r="A16" s="54" t="s">
        <v>21</v>
      </c>
      <c r="B16" s="170" t="s">
        <v>22</v>
      </c>
      <c r="C16" s="170"/>
      <c r="D16" s="170"/>
      <c r="E16" s="170"/>
      <c r="F16" s="170"/>
      <c r="G16" s="170"/>
      <c r="H16" s="170"/>
      <c r="I16" s="170"/>
      <c r="J16" s="170"/>
      <c r="K16" s="8" t="s">
        <v>257</v>
      </c>
      <c r="L16" s="128"/>
    </row>
    <row r="17" spans="1:20" ht="15.75" customHeight="1" x14ac:dyDescent="0.25">
      <c r="A17" s="54" t="s">
        <v>23</v>
      </c>
      <c r="B17" s="170" t="s">
        <v>24</v>
      </c>
      <c r="C17" s="170"/>
      <c r="D17" s="170"/>
      <c r="E17" s="170"/>
      <c r="F17" s="170"/>
      <c r="G17" s="170"/>
      <c r="H17" s="170"/>
      <c r="I17" s="170"/>
      <c r="J17" s="170"/>
      <c r="K17" s="60">
        <v>1320</v>
      </c>
      <c r="L17" s="128"/>
    </row>
    <row r="18" spans="1:20" ht="16.5" customHeight="1" x14ac:dyDescent="0.25">
      <c r="A18" s="54" t="s">
        <v>0</v>
      </c>
      <c r="B18" s="170" t="s">
        <v>292</v>
      </c>
      <c r="C18" s="170"/>
      <c r="D18" s="170"/>
      <c r="E18" s="170"/>
      <c r="F18" s="170"/>
      <c r="G18" s="170"/>
      <c r="H18" s="170"/>
      <c r="I18" s="170"/>
      <c r="J18" s="170"/>
      <c r="K18" s="59">
        <v>1481.56</v>
      </c>
    </row>
    <row r="19" spans="1:20" x14ac:dyDescent="0.25">
      <c r="A19" s="54" t="s">
        <v>25</v>
      </c>
      <c r="B19" s="171" t="s">
        <v>26</v>
      </c>
      <c r="C19" s="171"/>
      <c r="D19" s="171"/>
      <c r="E19" s="171"/>
      <c r="F19" s="171"/>
      <c r="G19" s="171"/>
      <c r="H19" s="171"/>
      <c r="I19" s="171"/>
      <c r="J19" s="171"/>
      <c r="K19" s="2" t="s">
        <v>314</v>
      </c>
    </row>
    <row r="20" spans="1:20" ht="16.5" customHeight="1" x14ac:dyDescent="0.25">
      <c r="A20" s="54" t="s">
        <v>27</v>
      </c>
      <c r="B20" s="171" t="s">
        <v>28</v>
      </c>
      <c r="C20" s="171"/>
      <c r="D20" s="171"/>
      <c r="E20" s="171"/>
      <c r="F20" s="171"/>
      <c r="G20" s="171"/>
      <c r="H20" s="171"/>
      <c r="I20" s="171"/>
      <c r="J20" s="171"/>
      <c r="K20" s="2" t="s">
        <v>291</v>
      </c>
    </row>
    <row r="21" spans="1:20" ht="17.25" customHeight="1" x14ac:dyDescent="0.25">
      <c r="A21" s="54" t="s">
        <v>29</v>
      </c>
      <c r="B21" s="171" t="s">
        <v>30</v>
      </c>
      <c r="C21" s="171"/>
      <c r="D21" s="171"/>
      <c r="E21" s="171"/>
      <c r="F21" s="171"/>
      <c r="G21" s="171"/>
      <c r="H21" s="171"/>
      <c r="I21" s="171"/>
      <c r="J21" s="171"/>
      <c r="K21" s="3" t="s">
        <v>31</v>
      </c>
    </row>
    <row r="22" spans="1:20" ht="17.25" customHeight="1" x14ac:dyDescent="0.25">
      <c r="A22" s="54" t="s">
        <v>32</v>
      </c>
      <c r="B22" s="171" t="s">
        <v>33</v>
      </c>
      <c r="C22" s="171"/>
      <c r="D22" s="171"/>
      <c r="E22" s="171"/>
      <c r="F22" s="171"/>
      <c r="G22" s="171"/>
      <c r="H22" s="171"/>
      <c r="I22" s="171"/>
      <c r="J22" s="171"/>
      <c r="K22" s="9">
        <v>12</v>
      </c>
    </row>
    <row r="23" spans="1:20" ht="6.75" customHeight="1" x14ac:dyDescent="0.25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</row>
    <row r="24" spans="1:20" ht="17.25" customHeight="1" x14ac:dyDescent="0.25">
      <c r="A24" s="172" t="s">
        <v>34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</row>
    <row r="25" spans="1:20" ht="17.25" customHeight="1" x14ac:dyDescent="0.25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53" t="s">
        <v>35</v>
      </c>
    </row>
    <row r="26" spans="1:20" ht="17.25" customHeight="1" x14ac:dyDescent="0.25">
      <c r="A26" s="54" t="s">
        <v>7</v>
      </c>
      <c r="B26" s="170" t="s">
        <v>36</v>
      </c>
      <c r="C26" s="170"/>
      <c r="D26" s="170"/>
      <c r="E26" s="170"/>
      <c r="F26" s="170"/>
      <c r="G26" s="170"/>
      <c r="H26" s="10">
        <v>200</v>
      </c>
      <c r="I26" s="167" t="s">
        <v>37</v>
      </c>
      <c r="J26" s="167"/>
      <c r="K26" s="59">
        <f>K18</f>
        <v>1481.56</v>
      </c>
      <c r="M26" s="173"/>
      <c r="N26" s="173"/>
      <c r="O26" s="173"/>
      <c r="P26" s="173"/>
      <c r="Q26" s="173"/>
      <c r="R26" s="173"/>
      <c r="S26" s="173"/>
      <c r="T26" s="173"/>
    </row>
    <row r="27" spans="1:20" ht="17.25" customHeight="1" x14ac:dyDescent="0.25">
      <c r="A27" s="54" t="s">
        <v>9</v>
      </c>
      <c r="B27" s="170" t="s">
        <v>38</v>
      </c>
      <c r="C27" s="170"/>
      <c r="D27" s="170"/>
      <c r="E27" s="170"/>
      <c r="F27" s="170"/>
      <c r="G27" s="170"/>
      <c r="H27" s="62"/>
      <c r="I27" s="167" t="s">
        <v>39</v>
      </c>
      <c r="J27" s="167"/>
      <c r="K27" s="60">
        <f>H27*K18</f>
        <v>0</v>
      </c>
      <c r="M27" s="11" t="s">
        <v>40</v>
      </c>
      <c r="N27" s="12"/>
      <c r="O27" s="12"/>
      <c r="P27" s="12"/>
      <c r="Q27" s="12"/>
      <c r="R27" s="12"/>
      <c r="S27" s="12"/>
      <c r="T27" s="13"/>
    </row>
    <row r="28" spans="1:20" ht="17.25" customHeight="1" x14ac:dyDescent="0.25">
      <c r="A28" s="54" t="s">
        <v>11</v>
      </c>
      <c r="B28" s="170" t="s">
        <v>41</v>
      </c>
      <c r="C28" s="170"/>
      <c r="D28" s="170"/>
      <c r="E28" s="170"/>
      <c r="F28" s="170"/>
      <c r="G28" s="170"/>
      <c r="H28" s="62"/>
      <c r="I28" s="167" t="s">
        <v>39</v>
      </c>
      <c r="J28" s="167"/>
      <c r="K28" s="60">
        <f>H28*K17</f>
        <v>0</v>
      </c>
      <c r="M28" s="14" t="s">
        <v>40</v>
      </c>
      <c r="N28" s="15"/>
      <c r="O28" s="15"/>
      <c r="P28" s="15"/>
      <c r="Q28" s="15"/>
      <c r="R28" s="15"/>
      <c r="S28" s="15"/>
      <c r="T28" s="16"/>
    </row>
    <row r="29" spans="1:20" ht="17.25" customHeight="1" x14ac:dyDescent="0.25">
      <c r="A29" s="54" t="s">
        <v>14</v>
      </c>
      <c r="B29" s="170" t="s">
        <v>42</v>
      </c>
      <c r="C29" s="170"/>
      <c r="D29" s="170"/>
      <c r="E29" s="170"/>
      <c r="F29" s="170"/>
      <c r="G29" s="170"/>
      <c r="H29" s="62"/>
      <c r="I29" s="167" t="s">
        <v>39</v>
      </c>
      <c r="J29" s="167"/>
      <c r="K29" s="60">
        <f>H29*K26</f>
        <v>0</v>
      </c>
    </row>
    <row r="30" spans="1:20" ht="17.25" customHeight="1" x14ac:dyDescent="0.25">
      <c r="A30" s="54" t="s">
        <v>43</v>
      </c>
      <c r="B30" s="170" t="s">
        <v>44</v>
      </c>
      <c r="C30" s="170"/>
      <c r="D30" s="170"/>
      <c r="E30" s="170"/>
      <c r="F30" s="170"/>
      <c r="G30" s="170"/>
      <c r="H30" s="62"/>
      <c r="I30" s="167" t="s">
        <v>39</v>
      </c>
      <c r="J30" s="167"/>
      <c r="K30" s="60">
        <f>H30*K26</f>
        <v>0</v>
      </c>
    </row>
    <row r="31" spans="1:20" ht="17.25" customHeight="1" x14ac:dyDescent="0.25">
      <c r="A31" s="167" t="s">
        <v>18</v>
      </c>
      <c r="B31" s="170" t="s">
        <v>45</v>
      </c>
      <c r="C31" s="170"/>
      <c r="D31" s="170"/>
      <c r="E31" s="170"/>
      <c r="F31" s="170"/>
      <c r="G31" s="186" t="s">
        <v>46</v>
      </c>
      <c r="H31" s="186" t="s">
        <v>47</v>
      </c>
      <c r="I31" s="186" t="s">
        <v>48</v>
      </c>
      <c r="J31" s="186"/>
      <c r="K31" s="174">
        <f>ROUND(I33*H33,2)</f>
        <v>0</v>
      </c>
      <c r="M31" s="175" t="s">
        <v>144</v>
      </c>
      <c r="N31" s="176"/>
      <c r="O31" s="176"/>
      <c r="P31" s="176"/>
      <c r="Q31" s="176"/>
      <c r="R31" s="176"/>
      <c r="S31" s="176"/>
      <c r="T31" s="177"/>
    </row>
    <row r="32" spans="1:20" ht="22.5" customHeight="1" x14ac:dyDescent="0.25">
      <c r="A32" s="167"/>
      <c r="B32" s="170"/>
      <c r="C32" s="170"/>
      <c r="D32" s="170"/>
      <c r="E32" s="170"/>
      <c r="F32" s="170"/>
      <c r="G32" s="186"/>
      <c r="H32" s="186"/>
      <c r="I32" s="186"/>
      <c r="J32" s="186"/>
      <c r="K32" s="174"/>
      <c r="M32" s="178"/>
      <c r="N32" s="179"/>
      <c r="O32" s="179"/>
      <c r="P32" s="179"/>
      <c r="Q32" s="179"/>
      <c r="R32" s="179"/>
      <c r="S32" s="179"/>
      <c r="T32" s="180"/>
    </row>
    <row r="33" spans="1:20" ht="17.25" customHeight="1" x14ac:dyDescent="0.25">
      <c r="A33" s="167"/>
      <c r="B33" s="170"/>
      <c r="C33" s="170"/>
      <c r="D33" s="170"/>
      <c r="E33" s="170"/>
      <c r="F33" s="170"/>
      <c r="G33" s="62"/>
      <c r="H33" s="10"/>
      <c r="I33" s="184">
        <f>(K26/H26)*(1+G33)</f>
        <v>7.4077999999999999</v>
      </c>
      <c r="J33" s="184"/>
      <c r="K33" s="174"/>
      <c r="M33" s="181"/>
      <c r="N33" s="182"/>
      <c r="O33" s="182"/>
      <c r="P33" s="182"/>
      <c r="Q33" s="182"/>
      <c r="R33" s="182"/>
      <c r="S33" s="182"/>
      <c r="T33" s="183"/>
    </row>
    <row r="34" spans="1:20" ht="17.25" customHeight="1" x14ac:dyDescent="0.25">
      <c r="A34" s="54" t="s">
        <v>21</v>
      </c>
      <c r="B34" s="185" t="s">
        <v>49</v>
      </c>
      <c r="C34" s="185"/>
      <c r="D34" s="185"/>
      <c r="E34" s="185"/>
      <c r="F34" s="185"/>
      <c r="G34" s="185"/>
      <c r="H34" s="185"/>
      <c r="I34" s="185"/>
      <c r="J34" s="185"/>
      <c r="K34" s="59"/>
    </row>
    <row r="35" spans="1:20" ht="17.25" customHeight="1" x14ac:dyDescent="0.25">
      <c r="A35" s="172" t="s">
        <v>50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">
        <f>ROUND(SUM(K26:K34),2)</f>
        <v>1481.56</v>
      </c>
    </row>
    <row r="36" spans="1:20" ht="6.75" customHeight="1" x14ac:dyDescent="0.25">
      <c r="A36" s="165"/>
      <c r="B36" s="165"/>
      <c r="C36" s="165"/>
      <c r="D36" s="165"/>
      <c r="E36" s="165"/>
      <c r="F36" s="165"/>
      <c r="G36" s="165"/>
      <c r="H36" s="165"/>
      <c r="I36" s="165"/>
      <c r="J36" s="165"/>
      <c r="K36" s="165"/>
    </row>
    <row r="37" spans="1:20" ht="17.25" customHeight="1" x14ac:dyDescent="0.25">
      <c r="A37" s="172" t="s">
        <v>51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</row>
    <row r="38" spans="1:20" ht="17.25" customHeight="1" x14ac:dyDescent="0.25">
      <c r="A38" s="189" t="s">
        <v>52</v>
      </c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M38" s="129"/>
    </row>
    <row r="39" spans="1:20" s="130" customFormat="1" ht="17.25" customHeight="1" x14ac:dyDescent="0.25">
      <c r="A39" s="191"/>
      <c r="B39" s="191"/>
      <c r="C39" s="191"/>
      <c r="D39" s="191"/>
      <c r="E39" s="191"/>
      <c r="F39" s="191"/>
      <c r="G39" s="191"/>
      <c r="H39" s="191"/>
      <c r="I39" s="172" t="s">
        <v>53</v>
      </c>
      <c r="J39" s="172"/>
      <c r="K39" s="53" t="s">
        <v>35</v>
      </c>
      <c r="M39" s="127"/>
      <c r="N39" s="127"/>
      <c r="O39" s="127"/>
      <c r="P39" s="127"/>
      <c r="Q39" s="127"/>
      <c r="R39" s="127"/>
      <c r="S39" s="127"/>
      <c r="T39" s="127"/>
    </row>
    <row r="40" spans="1:20" ht="17.25" customHeight="1" x14ac:dyDescent="0.25">
      <c r="A40" s="54" t="s">
        <v>7</v>
      </c>
      <c r="B40" s="171" t="s">
        <v>54</v>
      </c>
      <c r="C40" s="171"/>
      <c r="D40" s="171"/>
      <c r="E40" s="171"/>
      <c r="F40" s="171"/>
      <c r="G40" s="171"/>
      <c r="H40" s="171"/>
      <c r="I40" s="187">
        <f>ROUND(1/12,4)</f>
        <v>8.3299999999999999E-2</v>
      </c>
      <c r="J40" s="187"/>
      <c r="K40" s="52">
        <f>ROUND(I40*$K$35,2)</f>
        <v>123.41</v>
      </c>
      <c r="M40" s="175" t="s">
        <v>55</v>
      </c>
      <c r="N40" s="176"/>
      <c r="O40" s="176"/>
      <c r="P40" s="176"/>
      <c r="Q40" s="176"/>
      <c r="R40" s="176"/>
      <c r="S40" s="176"/>
      <c r="T40" s="177"/>
    </row>
    <row r="41" spans="1:20" ht="17.25" customHeight="1" x14ac:dyDescent="0.25">
      <c r="A41" s="54" t="s">
        <v>9</v>
      </c>
      <c r="B41" s="170" t="s">
        <v>56</v>
      </c>
      <c r="C41" s="170"/>
      <c r="D41" s="170"/>
      <c r="E41" s="170"/>
      <c r="F41" s="170"/>
      <c r="G41" s="170"/>
      <c r="H41" s="170"/>
      <c r="I41" s="187">
        <f>ROUND(1/3/12,4)</f>
        <v>2.7799999999999998E-2</v>
      </c>
      <c r="J41" s="187"/>
      <c r="K41" s="52">
        <f>ROUND(I41*$K$35,2)</f>
        <v>41.19</v>
      </c>
      <c r="M41" s="178"/>
      <c r="N41" s="179"/>
      <c r="O41" s="179"/>
      <c r="P41" s="179"/>
      <c r="Q41" s="179"/>
      <c r="R41" s="179"/>
      <c r="S41" s="179"/>
      <c r="T41" s="180"/>
    </row>
    <row r="42" spans="1:20" ht="17.25" customHeight="1" x14ac:dyDescent="0.25">
      <c r="A42" s="18" t="s">
        <v>11</v>
      </c>
      <c r="B42" s="188" t="s">
        <v>57</v>
      </c>
      <c r="C42" s="188"/>
      <c r="D42" s="188"/>
      <c r="E42" s="188"/>
      <c r="F42" s="188"/>
      <c r="G42" s="188"/>
      <c r="H42" s="188"/>
      <c r="I42" s="187">
        <f>ROUND(1/12,4)</f>
        <v>8.3299999999999999E-2</v>
      </c>
      <c r="J42" s="187"/>
      <c r="K42" s="52">
        <f>ROUND(I42*$K$35,2)</f>
        <v>123.41</v>
      </c>
      <c r="M42" s="181"/>
      <c r="N42" s="182"/>
      <c r="O42" s="182"/>
      <c r="P42" s="182"/>
      <c r="Q42" s="182"/>
      <c r="R42" s="182"/>
      <c r="S42" s="182"/>
      <c r="T42" s="183"/>
    </row>
    <row r="43" spans="1:20" ht="17.25" customHeight="1" x14ac:dyDescent="0.25">
      <c r="A43" s="189" t="s">
        <v>58</v>
      </c>
      <c r="B43" s="189"/>
      <c r="C43" s="189"/>
      <c r="D43" s="189"/>
      <c r="E43" s="189"/>
      <c r="F43" s="189"/>
      <c r="G43" s="189"/>
      <c r="H43" s="189"/>
      <c r="I43" s="190">
        <f>SUM(I40:J42)</f>
        <v>0.19440000000000002</v>
      </c>
      <c r="J43" s="190"/>
      <c r="K43" s="19">
        <f>ROUND(SUM(K40:K42),2)</f>
        <v>288.01</v>
      </c>
    </row>
    <row r="44" spans="1:20" ht="6.75" customHeight="1" x14ac:dyDescent="0.25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</row>
    <row r="45" spans="1:20" ht="17.25" customHeight="1" x14ac:dyDescent="0.25">
      <c r="A45" s="189" t="s">
        <v>59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20" ht="17.25" customHeight="1" x14ac:dyDescent="0.25">
      <c r="A46" s="193" t="s">
        <v>60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">
        <f>K35</f>
        <v>1481.56</v>
      </c>
    </row>
    <row r="47" spans="1:20" ht="17.25" customHeight="1" x14ac:dyDescent="0.25">
      <c r="A47" s="194" t="s">
        <v>61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">
        <f>K43</f>
        <v>288.01</v>
      </c>
    </row>
    <row r="48" spans="1:20" ht="17.25" customHeight="1" x14ac:dyDescent="0.25">
      <c r="A48" s="194" t="s">
        <v>62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">
        <f>SUM(K46:K47)</f>
        <v>1769.57</v>
      </c>
    </row>
    <row r="49" spans="1:20" s="130" customFormat="1" ht="17.25" customHeight="1" x14ac:dyDescent="0.25">
      <c r="A49" s="191"/>
      <c r="B49" s="191"/>
      <c r="C49" s="191"/>
      <c r="D49" s="191"/>
      <c r="E49" s="191"/>
      <c r="F49" s="191"/>
      <c r="G49" s="191"/>
      <c r="H49" s="191"/>
      <c r="I49" s="172" t="s">
        <v>53</v>
      </c>
      <c r="J49" s="172"/>
      <c r="K49" s="53" t="s">
        <v>35</v>
      </c>
      <c r="M49" s="131"/>
      <c r="N49" s="131"/>
      <c r="O49" s="131"/>
      <c r="P49" s="131"/>
      <c r="Q49" s="131"/>
      <c r="R49" s="131"/>
      <c r="S49" s="127"/>
      <c r="T49" s="127"/>
    </row>
    <row r="50" spans="1:20" ht="17.25" customHeight="1" x14ac:dyDescent="0.25">
      <c r="A50" s="54" t="s">
        <v>7</v>
      </c>
      <c r="B50" s="171" t="s">
        <v>63</v>
      </c>
      <c r="C50" s="171"/>
      <c r="D50" s="171"/>
      <c r="E50" s="171"/>
      <c r="F50" s="171"/>
      <c r="G50" s="171"/>
      <c r="H50" s="171"/>
      <c r="I50" s="192">
        <v>0.2</v>
      </c>
      <c r="J50" s="192"/>
      <c r="K50" s="52">
        <f>ROUND(I50*$K$48,2)</f>
        <v>353.91</v>
      </c>
    </row>
    <row r="51" spans="1:20" ht="17.25" customHeight="1" x14ac:dyDescent="0.25">
      <c r="A51" s="54" t="s">
        <v>9</v>
      </c>
      <c r="B51" s="171" t="s">
        <v>64</v>
      </c>
      <c r="C51" s="171"/>
      <c r="D51" s="171"/>
      <c r="E51" s="171"/>
      <c r="F51" s="171"/>
      <c r="G51" s="171"/>
      <c r="H51" s="171"/>
      <c r="I51" s="192">
        <v>2.5000000000000001E-2</v>
      </c>
      <c r="J51" s="192"/>
      <c r="K51" s="52">
        <f t="shared" ref="K51:K57" si="0">ROUND(I51*$K$48,2)</f>
        <v>44.24</v>
      </c>
    </row>
    <row r="52" spans="1:20" ht="17.25" customHeight="1" x14ac:dyDescent="0.25">
      <c r="A52" s="167" t="s">
        <v>11</v>
      </c>
      <c r="B52" s="170" t="s">
        <v>65</v>
      </c>
      <c r="C52" s="170"/>
      <c r="D52" s="170"/>
      <c r="E52" s="170"/>
      <c r="F52" s="170"/>
      <c r="G52" s="20" t="s">
        <v>66</v>
      </c>
      <c r="H52" s="20" t="s">
        <v>67</v>
      </c>
      <c r="I52" s="187">
        <f>(G53*H53)*100</f>
        <v>0.03</v>
      </c>
      <c r="J52" s="187"/>
      <c r="K52" s="202">
        <f t="shared" si="0"/>
        <v>53.09</v>
      </c>
      <c r="M52" s="203" t="s">
        <v>68</v>
      </c>
      <c r="N52" s="204"/>
      <c r="O52" s="204"/>
      <c r="P52" s="204"/>
      <c r="Q52" s="204"/>
      <c r="R52" s="204"/>
      <c r="S52" s="204"/>
      <c r="T52" s="205"/>
    </row>
    <row r="53" spans="1:20" ht="17.25" customHeight="1" x14ac:dyDescent="0.25">
      <c r="A53" s="167"/>
      <c r="B53" s="170"/>
      <c r="C53" s="170"/>
      <c r="D53" s="170"/>
      <c r="E53" s="170"/>
      <c r="F53" s="170"/>
      <c r="G53" s="57">
        <v>0.03</v>
      </c>
      <c r="H53" s="57">
        <v>0.01</v>
      </c>
      <c r="I53" s="187"/>
      <c r="J53" s="187"/>
      <c r="K53" s="202"/>
      <c r="M53" s="206"/>
      <c r="N53" s="207"/>
      <c r="O53" s="207"/>
      <c r="P53" s="207"/>
      <c r="Q53" s="207"/>
      <c r="R53" s="207"/>
      <c r="S53" s="207"/>
      <c r="T53" s="208"/>
    </row>
    <row r="54" spans="1:20" ht="17.25" customHeight="1" x14ac:dyDescent="0.25">
      <c r="A54" s="54" t="s">
        <v>14</v>
      </c>
      <c r="B54" s="171" t="s">
        <v>69</v>
      </c>
      <c r="C54" s="171"/>
      <c r="D54" s="171"/>
      <c r="E54" s="171"/>
      <c r="F54" s="171"/>
      <c r="G54" s="171"/>
      <c r="H54" s="171"/>
      <c r="I54" s="192">
        <v>1.4999999999999999E-2</v>
      </c>
      <c r="J54" s="192"/>
      <c r="K54" s="52">
        <f t="shared" si="0"/>
        <v>26.54</v>
      </c>
    </row>
    <row r="55" spans="1:20" ht="17.25" customHeight="1" x14ac:dyDescent="0.25">
      <c r="A55" s="54" t="s">
        <v>16</v>
      </c>
      <c r="B55" s="171" t="s">
        <v>70</v>
      </c>
      <c r="C55" s="171"/>
      <c r="D55" s="171"/>
      <c r="E55" s="171"/>
      <c r="F55" s="171"/>
      <c r="G55" s="171"/>
      <c r="H55" s="171"/>
      <c r="I55" s="192">
        <v>0.01</v>
      </c>
      <c r="J55" s="192"/>
      <c r="K55" s="52">
        <f t="shared" si="0"/>
        <v>17.7</v>
      </c>
    </row>
    <row r="56" spans="1:20" ht="17.25" customHeight="1" x14ac:dyDescent="0.25">
      <c r="A56" s="54" t="s">
        <v>18</v>
      </c>
      <c r="B56" s="171" t="s">
        <v>71</v>
      </c>
      <c r="C56" s="171"/>
      <c r="D56" s="171"/>
      <c r="E56" s="171"/>
      <c r="F56" s="171"/>
      <c r="G56" s="171"/>
      <c r="H56" s="171"/>
      <c r="I56" s="192">
        <v>6.0000000000000001E-3</v>
      </c>
      <c r="J56" s="192"/>
      <c r="K56" s="52">
        <f t="shared" si="0"/>
        <v>10.62</v>
      </c>
    </row>
    <row r="57" spans="1:20" ht="17.25" customHeight="1" x14ac:dyDescent="0.25">
      <c r="A57" s="54" t="s">
        <v>21</v>
      </c>
      <c r="B57" s="171" t="s">
        <v>72</v>
      </c>
      <c r="C57" s="171"/>
      <c r="D57" s="171"/>
      <c r="E57" s="171"/>
      <c r="F57" s="171"/>
      <c r="G57" s="171"/>
      <c r="H57" s="171"/>
      <c r="I57" s="192">
        <v>2E-3</v>
      </c>
      <c r="J57" s="192"/>
      <c r="K57" s="52">
        <f t="shared" si="0"/>
        <v>3.54</v>
      </c>
    </row>
    <row r="58" spans="1:20" ht="17.25" customHeight="1" x14ac:dyDescent="0.25">
      <c r="A58" s="54" t="s">
        <v>23</v>
      </c>
      <c r="B58" s="171" t="s">
        <v>73</v>
      </c>
      <c r="C58" s="171"/>
      <c r="D58" s="171"/>
      <c r="E58" s="171"/>
      <c r="F58" s="171"/>
      <c r="G58" s="171"/>
      <c r="H58" s="171"/>
      <c r="I58" s="192">
        <v>0.08</v>
      </c>
      <c r="J58" s="192"/>
      <c r="K58" s="52">
        <f>ROUND(I58*$K$48,2)</f>
        <v>141.57</v>
      </c>
    </row>
    <row r="59" spans="1:20" ht="17.25" customHeight="1" x14ac:dyDescent="0.25">
      <c r="A59" s="189" t="s">
        <v>74</v>
      </c>
      <c r="B59" s="189"/>
      <c r="C59" s="189"/>
      <c r="D59" s="189"/>
      <c r="E59" s="189"/>
      <c r="F59" s="189"/>
      <c r="G59" s="189"/>
      <c r="H59" s="189"/>
      <c r="I59" s="190">
        <f>SUM(I50:J58)</f>
        <v>0.36800000000000005</v>
      </c>
      <c r="J59" s="190"/>
      <c r="K59" s="19">
        <f>ROUND(SUM(K50:K58),2)</f>
        <v>651.21</v>
      </c>
    </row>
    <row r="60" spans="1:20" ht="5.25" customHeight="1" x14ac:dyDescent="0.25">
      <c r="A60" s="212"/>
      <c r="B60" s="212"/>
      <c r="C60" s="212"/>
      <c r="D60" s="212"/>
      <c r="E60" s="212"/>
      <c r="F60" s="212"/>
      <c r="G60" s="212"/>
      <c r="H60" s="212"/>
      <c r="I60" s="212"/>
      <c r="J60" s="212"/>
      <c r="K60" s="212"/>
    </row>
    <row r="61" spans="1:20" ht="17.25" customHeight="1" x14ac:dyDescent="0.25">
      <c r="A61" s="189" t="s">
        <v>75</v>
      </c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M61" s="195" t="s">
        <v>76</v>
      </c>
      <c r="N61" s="196"/>
      <c r="O61" s="196"/>
      <c r="P61" s="196"/>
      <c r="Q61" s="196"/>
      <c r="R61" s="196"/>
      <c r="S61" s="196"/>
      <c r="T61" s="197"/>
    </row>
    <row r="62" spans="1:20" ht="17.25" customHeight="1" x14ac:dyDescent="0.25">
      <c r="A62" s="201"/>
      <c r="B62" s="201"/>
      <c r="C62" s="201"/>
      <c r="D62" s="201"/>
      <c r="E62" s="201"/>
      <c r="F62" s="201"/>
      <c r="G62" s="201"/>
      <c r="H62" s="201"/>
      <c r="I62" s="201"/>
      <c r="J62" s="201"/>
      <c r="K62" s="53" t="s">
        <v>35</v>
      </c>
      <c r="M62" s="198"/>
      <c r="N62" s="199"/>
      <c r="O62" s="199"/>
      <c r="P62" s="199"/>
      <c r="Q62" s="199"/>
      <c r="R62" s="199"/>
      <c r="S62" s="199"/>
      <c r="T62" s="200"/>
    </row>
    <row r="63" spans="1:20" ht="17.25" customHeight="1" x14ac:dyDescent="0.25">
      <c r="A63" s="167" t="s">
        <v>7</v>
      </c>
      <c r="B63" s="209" t="s">
        <v>77</v>
      </c>
      <c r="C63" s="209"/>
      <c r="D63" s="209"/>
      <c r="E63" s="209"/>
      <c r="F63" s="209"/>
      <c r="G63" s="210"/>
      <c r="H63" s="210"/>
      <c r="I63" s="210"/>
      <c r="J63" s="210"/>
      <c r="K63" s="202">
        <f>ROUND((B65*E65*F65)-G65,2)</f>
        <v>76.11</v>
      </c>
    </row>
    <row r="64" spans="1:20" ht="17.25" customHeight="1" x14ac:dyDescent="0.25">
      <c r="A64" s="167"/>
      <c r="B64" s="164" t="s">
        <v>78</v>
      </c>
      <c r="C64" s="164"/>
      <c r="D64" s="164"/>
      <c r="E64" s="54" t="s">
        <v>79</v>
      </c>
      <c r="F64" s="61" t="s">
        <v>80</v>
      </c>
      <c r="G64" s="164" t="s">
        <v>81</v>
      </c>
      <c r="H64" s="164"/>
      <c r="I64" s="164"/>
      <c r="J64" s="164"/>
      <c r="K64" s="202"/>
    </row>
    <row r="65" spans="1:20" ht="17.25" customHeight="1" x14ac:dyDescent="0.25">
      <c r="A65" s="167"/>
      <c r="B65" s="211">
        <v>2</v>
      </c>
      <c r="C65" s="211"/>
      <c r="D65" s="211"/>
      <c r="E65" s="4">
        <v>22</v>
      </c>
      <c r="F65" s="59">
        <v>3.75</v>
      </c>
      <c r="G65" s="202">
        <f>0.06*K26</f>
        <v>88.893599999999992</v>
      </c>
      <c r="H65" s="202"/>
      <c r="I65" s="202"/>
      <c r="J65" s="202"/>
      <c r="K65" s="202"/>
    </row>
    <row r="66" spans="1:20" ht="17.25" customHeight="1" x14ac:dyDescent="0.25">
      <c r="A66" s="213" t="s">
        <v>9</v>
      </c>
      <c r="B66" s="214" t="s">
        <v>243</v>
      </c>
      <c r="C66" s="214"/>
      <c r="D66" s="214"/>
      <c r="E66" s="214"/>
      <c r="F66" s="214"/>
      <c r="G66" s="215"/>
      <c r="H66" s="215"/>
      <c r="I66" s="215"/>
      <c r="J66" s="215"/>
      <c r="K66" s="216">
        <f>(B68-G68)*E68</f>
        <v>390.28000000000003</v>
      </c>
    </row>
    <row r="67" spans="1:20" ht="17.25" customHeight="1" x14ac:dyDescent="0.25">
      <c r="A67" s="213"/>
      <c r="B67" s="164" t="s">
        <v>89</v>
      </c>
      <c r="C67" s="164"/>
      <c r="D67" s="164"/>
      <c r="E67" s="219" t="s">
        <v>79</v>
      </c>
      <c r="F67" s="220"/>
      <c r="G67" s="164" t="s">
        <v>81</v>
      </c>
      <c r="H67" s="164"/>
      <c r="I67" s="164"/>
      <c r="J67" s="164"/>
      <c r="K67" s="217"/>
    </row>
    <row r="68" spans="1:20" ht="17.25" customHeight="1" x14ac:dyDescent="0.25">
      <c r="A68" s="213"/>
      <c r="B68" s="221">
        <v>19.010000000000002</v>
      </c>
      <c r="C68" s="221"/>
      <c r="D68" s="221"/>
      <c r="E68" s="222">
        <f>E65</f>
        <v>22</v>
      </c>
      <c r="F68" s="223"/>
      <c r="G68" s="202">
        <v>1.27</v>
      </c>
      <c r="H68" s="202"/>
      <c r="I68" s="202"/>
      <c r="J68" s="202"/>
      <c r="K68" s="218"/>
    </row>
    <row r="69" spans="1:20" ht="17.25" customHeight="1" x14ac:dyDescent="0.25">
      <c r="A69" s="213" t="s">
        <v>11</v>
      </c>
      <c r="B69" s="214" t="s">
        <v>83</v>
      </c>
      <c r="C69" s="214"/>
      <c r="D69" s="214"/>
      <c r="E69" s="214"/>
      <c r="F69" s="214"/>
      <c r="G69" s="215"/>
      <c r="H69" s="215"/>
      <c r="I69" s="215"/>
      <c r="J69" s="215"/>
      <c r="K69" s="227">
        <f>B71-G71</f>
        <v>132.49</v>
      </c>
      <c r="M69" s="21"/>
      <c r="N69" s="21"/>
      <c r="O69" s="21"/>
      <c r="P69" s="21"/>
      <c r="Q69" s="21"/>
      <c r="R69" s="21"/>
      <c r="S69" s="21"/>
      <c r="T69" s="21"/>
    </row>
    <row r="70" spans="1:20" ht="17.25" customHeight="1" x14ac:dyDescent="0.25">
      <c r="A70" s="213"/>
      <c r="B70" s="213" t="s">
        <v>82</v>
      </c>
      <c r="C70" s="213"/>
      <c r="D70" s="213"/>
      <c r="E70" s="213"/>
      <c r="F70" s="213"/>
      <c r="G70" s="213" t="s">
        <v>84</v>
      </c>
      <c r="H70" s="213"/>
      <c r="I70" s="213"/>
      <c r="J70" s="213"/>
      <c r="K70" s="228"/>
      <c r="M70" s="21"/>
      <c r="N70" s="21"/>
      <c r="O70" s="21"/>
      <c r="P70" s="21"/>
      <c r="Q70" s="21"/>
      <c r="R70" s="21"/>
      <c r="S70" s="21"/>
      <c r="T70" s="21"/>
    </row>
    <row r="71" spans="1:20" ht="17.25" customHeight="1" x14ac:dyDescent="0.25">
      <c r="A71" s="213"/>
      <c r="B71" s="230">
        <v>132.49</v>
      </c>
      <c r="C71" s="230"/>
      <c r="D71" s="230"/>
      <c r="E71" s="230"/>
      <c r="F71" s="230"/>
      <c r="G71" s="231">
        <v>0</v>
      </c>
      <c r="H71" s="231"/>
      <c r="I71" s="231"/>
      <c r="J71" s="231"/>
      <c r="K71" s="229"/>
      <c r="M71" s="21"/>
      <c r="N71" s="21"/>
      <c r="O71" s="21"/>
      <c r="P71" s="21"/>
      <c r="Q71" s="21"/>
      <c r="R71" s="21"/>
      <c r="S71" s="21"/>
      <c r="T71" s="21"/>
    </row>
    <row r="72" spans="1:20" ht="17.25" customHeight="1" x14ac:dyDescent="0.25">
      <c r="A72" s="213" t="s">
        <v>14</v>
      </c>
      <c r="B72" s="214" t="s">
        <v>85</v>
      </c>
      <c r="C72" s="214"/>
      <c r="D72" s="214"/>
      <c r="E72" s="214"/>
      <c r="F72" s="214"/>
      <c r="G72" s="215"/>
      <c r="H72" s="215"/>
      <c r="I72" s="215"/>
      <c r="J72" s="215"/>
      <c r="K72" s="224">
        <f>B74-G74</f>
        <v>32.049999999999997</v>
      </c>
      <c r="M72" s="21"/>
      <c r="N72" s="21"/>
      <c r="O72" s="21"/>
      <c r="P72" s="21"/>
      <c r="Q72" s="21"/>
      <c r="R72" s="21"/>
      <c r="S72" s="21"/>
      <c r="T72" s="21"/>
    </row>
    <row r="73" spans="1:20" ht="17.25" customHeight="1" x14ac:dyDescent="0.25">
      <c r="A73" s="213"/>
      <c r="B73" s="213" t="s">
        <v>86</v>
      </c>
      <c r="C73" s="213"/>
      <c r="D73" s="213"/>
      <c r="E73" s="213"/>
      <c r="F73" s="213"/>
      <c r="G73" s="213" t="s">
        <v>84</v>
      </c>
      <c r="H73" s="213"/>
      <c r="I73" s="213"/>
      <c r="J73" s="213"/>
      <c r="K73" s="224"/>
      <c r="M73" s="21"/>
      <c r="N73" s="21"/>
      <c r="O73" s="21"/>
      <c r="P73" s="21"/>
      <c r="Q73" s="21"/>
      <c r="R73" s="21"/>
      <c r="S73" s="21"/>
      <c r="T73" s="21"/>
    </row>
    <row r="74" spans="1:20" ht="17.25" customHeight="1" x14ac:dyDescent="0.25">
      <c r="A74" s="213"/>
      <c r="B74" s="225">
        <v>32.049999999999997</v>
      </c>
      <c r="C74" s="225"/>
      <c r="D74" s="225"/>
      <c r="E74" s="225"/>
      <c r="F74" s="225"/>
      <c r="G74" s="226">
        <v>0</v>
      </c>
      <c r="H74" s="226"/>
      <c r="I74" s="226"/>
      <c r="J74" s="226"/>
      <c r="K74" s="224"/>
      <c r="M74" s="21"/>
      <c r="N74" s="21"/>
      <c r="O74" s="21"/>
      <c r="P74" s="21"/>
      <c r="Q74" s="21"/>
      <c r="R74" s="21"/>
      <c r="S74" s="21"/>
      <c r="T74" s="21"/>
    </row>
    <row r="75" spans="1:20" ht="17.25" customHeight="1" x14ac:dyDescent="0.25">
      <c r="A75" s="213" t="s">
        <v>16</v>
      </c>
      <c r="B75" s="214" t="s">
        <v>87</v>
      </c>
      <c r="C75" s="214"/>
      <c r="D75" s="214"/>
      <c r="E75" s="214"/>
      <c r="F75" s="214"/>
      <c r="G75" s="215"/>
      <c r="H75" s="215"/>
      <c r="I75" s="215"/>
      <c r="J75" s="215"/>
      <c r="K75" s="224">
        <f>F77*G77</f>
        <v>0.23760000000000003</v>
      </c>
      <c r="M75" s="232" t="s">
        <v>208</v>
      </c>
      <c r="N75" s="232"/>
      <c r="O75" s="232"/>
      <c r="P75" s="232"/>
      <c r="Q75" s="232"/>
      <c r="R75" s="232"/>
      <c r="S75" s="232"/>
      <c r="T75" s="232"/>
    </row>
    <row r="76" spans="1:20" ht="17.25" customHeight="1" x14ac:dyDescent="0.25">
      <c r="A76" s="213"/>
      <c r="B76" s="213" t="s">
        <v>88</v>
      </c>
      <c r="C76" s="213"/>
      <c r="D76" s="213"/>
      <c r="E76" s="213"/>
      <c r="F76" s="50" t="s">
        <v>89</v>
      </c>
      <c r="G76" s="233" t="s">
        <v>90</v>
      </c>
      <c r="H76" s="233"/>
      <c r="I76" s="233"/>
      <c r="J76" s="233"/>
      <c r="K76" s="224"/>
      <c r="M76" s="232"/>
      <c r="N76" s="232"/>
      <c r="O76" s="232"/>
      <c r="P76" s="232"/>
      <c r="Q76" s="232"/>
      <c r="R76" s="232"/>
      <c r="S76" s="232"/>
      <c r="T76" s="232"/>
    </row>
    <row r="77" spans="1:20" ht="17.25" customHeight="1" x14ac:dyDescent="0.25">
      <c r="A77" s="213"/>
      <c r="B77" s="234">
        <f>K17</f>
        <v>1320</v>
      </c>
      <c r="C77" s="234"/>
      <c r="D77" s="234"/>
      <c r="E77" s="234"/>
      <c r="F77" s="51">
        <f>B77*0.3</f>
        <v>396</v>
      </c>
      <c r="G77" s="235">
        <v>6.0000000000000006E-4</v>
      </c>
      <c r="H77" s="235"/>
      <c r="I77" s="235"/>
      <c r="J77" s="235"/>
      <c r="K77" s="224"/>
      <c r="M77" s="232"/>
      <c r="N77" s="232"/>
      <c r="O77" s="232"/>
      <c r="P77" s="232"/>
      <c r="Q77" s="232"/>
      <c r="R77" s="232"/>
      <c r="S77" s="232"/>
      <c r="T77" s="232"/>
    </row>
    <row r="78" spans="1:20" ht="17.25" customHeight="1" x14ac:dyDescent="0.25">
      <c r="A78" s="213" t="s">
        <v>18</v>
      </c>
      <c r="B78" s="214" t="s">
        <v>295</v>
      </c>
      <c r="C78" s="214"/>
      <c r="D78" s="214"/>
      <c r="E78" s="214"/>
      <c r="F78" s="214"/>
      <c r="G78" s="215"/>
      <c r="H78" s="215"/>
      <c r="I78" s="215"/>
      <c r="J78" s="215"/>
      <c r="K78" s="224">
        <f>B80-G80</f>
        <v>14.62</v>
      </c>
      <c r="M78" s="21"/>
      <c r="N78" s="21"/>
      <c r="O78" s="21"/>
      <c r="P78" s="21"/>
      <c r="Q78" s="21"/>
      <c r="R78" s="21"/>
      <c r="S78" s="21"/>
      <c r="T78" s="21"/>
    </row>
    <row r="79" spans="1:20" ht="17.25" customHeight="1" x14ac:dyDescent="0.25">
      <c r="A79" s="213"/>
      <c r="B79" s="213" t="s">
        <v>86</v>
      </c>
      <c r="C79" s="213"/>
      <c r="D79" s="213"/>
      <c r="E79" s="213"/>
      <c r="F79" s="213"/>
      <c r="G79" s="213" t="s">
        <v>84</v>
      </c>
      <c r="H79" s="213"/>
      <c r="I79" s="213"/>
      <c r="J79" s="213"/>
      <c r="K79" s="224"/>
      <c r="M79" s="21"/>
      <c r="N79" s="21"/>
      <c r="O79" s="21"/>
      <c r="P79" s="21"/>
      <c r="Q79" s="21"/>
      <c r="R79" s="21"/>
      <c r="S79" s="21"/>
      <c r="T79" s="21"/>
    </row>
    <row r="80" spans="1:20" ht="17.25" customHeight="1" x14ac:dyDescent="0.25">
      <c r="A80" s="213"/>
      <c r="B80" s="225">
        <v>14.62</v>
      </c>
      <c r="C80" s="225"/>
      <c r="D80" s="225"/>
      <c r="E80" s="225"/>
      <c r="F80" s="225"/>
      <c r="G80" s="226">
        <v>0</v>
      </c>
      <c r="H80" s="226"/>
      <c r="I80" s="226"/>
      <c r="J80" s="226"/>
      <c r="K80" s="224"/>
      <c r="M80" s="21"/>
      <c r="N80" s="21"/>
      <c r="O80" s="21"/>
      <c r="P80" s="21"/>
      <c r="Q80" s="21"/>
      <c r="R80" s="21"/>
      <c r="S80" s="21"/>
      <c r="T80" s="21"/>
    </row>
    <row r="81" spans="1:20" ht="17.25" customHeight="1" x14ac:dyDescent="0.25">
      <c r="A81" s="54" t="s">
        <v>23</v>
      </c>
      <c r="B81" s="236" t="s">
        <v>91</v>
      </c>
      <c r="C81" s="236"/>
      <c r="D81" s="236"/>
      <c r="E81" s="236"/>
      <c r="F81" s="236"/>
      <c r="G81" s="236"/>
      <c r="H81" s="236"/>
      <c r="I81" s="236"/>
      <c r="J81" s="236"/>
      <c r="K81" s="59"/>
    </row>
    <row r="82" spans="1:20" ht="17.25" customHeight="1" x14ac:dyDescent="0.25">
      <c r="A82" s="189" t="s">
        <v>92</v>
      </c>
      <c r="B82" s="189"/>
      <c r="C82" s="189"/>
      <c r="D82" s="189"/>
      <c r="E82" s="189"/>
      <c r="F82" s="189"/>
      <c r="G82" s="189"/>
      <c r="H82" s="189"/>
      <c r="I82" s="189"/>
      <c r="J82" s="189"/>
      <c r="K82" s="19">
        <f>ROUND(SUM(K62:K81),2)</f>
        <v>645.79</v>
      </c>
    </row>
    <row r="83" spans="1:20" ht="17.25" customHeight="1" x14ac:dyDescent="0.25">
      <c r="A83" s="172" t="s">
        <v>93</v>
      </c>
      <c r="B83" s="172"/>
      <c r="C83" s="172"/>
      <c r="D83" s="172"/>
      <c r="E83" s="172"/>
      <c r="F83" s="172"/>
      <c r="G83" s="172"/>
      <c r="H83" s="172"/>
      <c r="I83" s="172"/>
      <c r="J83" s="172"/>
      <c r="K83" s="17">
        <f>ROUND(SUM(K82,K59,K43),2)</f>
        <v>1585.01</v>
      </c>
    </row>
    <row r="84" spans="1:20" ht="6.75" customHeight="1" x14ac:dyDescent="0.25">
      <c r="A84" s="165"/>
      <c r="B84" s="165"/>
      <c r="C84" s="165"/>
      <c r="D84" s="165"/>
      <c r="E84" s="165"/>
      <c r="F84" s="165"/>
      <c r="G84" s="165"/>
      <c r="H84" s="165"/>
      <c r="I84" s="165"/>
      <c r="J84" s="165"/>
      <c r="K84" s="165"/>
    </row>
    <row r="85" spans="1:20" ht="17.25" customHeight="1" x14ac:dyDescent="0.25">
      <c r="A85" s="240" t="s">
        <v>94</v>
      </c>
      <c r="B85" s="240"/>
      <c r="C85" s="240"/>
      <c r="D85" s="240"/>
      <c r="E85" s="240"/>
      <c r="F85" s="240"/>
      <c r="G85" s="240"/>
      <c r="H85" s="240"/>
      <c r="I85" s="240"/>
      <c r="J85" s="240"/>
      <c r="K85" s="240"/>
      <c r="M85" s="179"/>
      <c r="N85" s="179"/>
      <c r="O85" s="179"/>
      <c r="P85" s="179"/>
      <c r="Q85" s="179"/>
      <c r="R85" s="179"/>
      <c r="S85" s="179"/>
      <c r="T85" s="179"/>
    </row>
    <row r="86" spans="1:20" ht="17.25" customHeight="1" x14ac:dyDescent="0.25">
      <c r="A86" s="189" t="s">
        <v>95</v>
      </c>
      <c r="B86" s="189"/>
      <c r="C86" s="189"/>
      <c r="D86" s="189"/>
      <c r="E86" s="189"/>
      <c r="F86" s="189"/>
      <c r="G86" s="189"/>
      <c r="H86" s="189"/>
      <c r="I86" s="189"/>
      <c r="J86" s="189"/>
      <c r="K86" s="189"/>
      <c r="M86" s="179"/>
      <c r="N86" s="179"/>
      <c r="O86" s="179"/>
      <c r="P86" s="179"/>
      <c r="Q86" s="179"/>
      <c r="R86" s="179"/>
      <c r="S86" s="179"/>
      <c r="T86" s="179"/>
    </row>
    <row r="87" spans="1:20" ht="17.25" customHeight="1" x14ac:dyDescent="0.25">
      <c r="A87" s="237" t="s">
        <v>60</v>
      </c>
      <c r="B87" s="237"/>
      <c r="C87" s="237"/>
      <c r="D87" s="237"/>
      <c r="E87" s="237"/>
      <c r="F87" s="237"/>
      <c r="G87" s="237"/>
      <c r="H87" s="237"/>
      <c r="I87" s="237"/>
      <c r="J87" s="237"/>
      <c r="K87" s="22">
        <f>K35</f>
        <v>1481.56</v>
      </c>
      <c r="M87" s="179"/>
      <c r="N87" s="179"/>
      <c r="O87" s="179"/>
      <c r="P87" s="179"/>
      <c r="Q87" s="179"/>
      <c r="R87" s="179"/>
      <c r="S87" s="179"/>
      <c r="T87" s="179"/>
    </row>
    <row r="88" spans="1:20" ht="17.25" customHeight="1" x14ac:dyDescent="0.25">
      <c r="A88" s="237" t="s">
        <v>96</v>
      </c>
      <c r="B88" s="237"/>
      <c r="C88" s="237"/>
      <c r="D88" s="237"/>
      <c r="E88" s="237"/>
      <c r="F88" s="237"/>
      <c r="G88" s="237"/>
      <c r="H88" s="237"/>
      <c r="I88" s="237"/>
      <c r="J88" s="237"/>
      <c r="K88" s="22">
        <f>K43</f>
        <v>288.01</v>
      </c>
      <c r="M88" s="179"/>
      <c r="N88" s="179"/>
      <c r="O88" s="179"/>
      <c r="P88" s="179"/>
      <c r="Q88" s="179"/>
      <c r="R88" s="179"/>
      <c r="S88" s="179"/>
      <c r="T88" s="179"/>
    </row>
    <row r="89" spans="1:20" ht="17.25" customHeight="1" x14ac:dyDescent="0.25">
      <c r="A89" s="237" t="s">
        <v>145</v>
      </c>
      <c r="B89" s="237"/>
      <c r="C89" s="237"/>
      <c r="D89" s="237"/>
      <c r="E89" s="237"/>
      <c r="F89" s="237"/>
      <c r="G89" s="237"/>
      <c r="H89" s="237"/>
      <c r="I89" s="237"/>
      <c r="J89" s="237"/>
      <c r="K89" s="22">
        <f>K58</f>
        <v>141.57</v>
      </c>
      <c r="M89" s="179"/>
      <c r="N89" s="179"/>
      <c r="O89" s="179"/>
      <c r="P89" s="179"/>
      <c r="Q89" s="179"/>
      <c r="R89" s="179"/>
      <c r="S89" s="179"/>
      <c r="T89" s="179"/>
    </row>
    <row r="90" spans="1:20" ht="17.25" customHeight="1" x14ac:dyDescent="0.25">
      <c r="A90" s="237" t="s">
        <v>75</v>
      </c>
      <c r="B90" s="237"/>
      <c r="C90" s="237"/>
      <c r="D90" s="237"/>
      <c r="E90" s="237"/>
      <c r="F90" s="237"/>
      <c r="G90" s="237"/>
      <c r="H90" s="237"/>
      <c r="I90" s="237"/>
      <c r="J90" s="237"/>
      <c r="K90" s="22">
        <f>K82</f>
        <v>645.79</v>
      </c>
      <c r="M90" s="179"/>
      <c r="N90" s="179"/>
      <c r="O90" s="179"/>
      <c r="P90" s="179"/>
      <c r="Q90" s="179"/>
      <c r="R90" s="179"/>
      <c r="S90" s="179"/>
      <c r="T90" s="179"/>
    </row>
    <row r="91" spans="1:20" ht="17.25" customHeight="1" x14ac:dyDescent="0.25">
      <c r="A91" s="237" t="s">
        <v>146</v>
      </c>
      <c r="B91" s="237"/>
      <c r="C91" s="237"/>
      <c r="D91" s="237"/>
      <c r="E91" s="237"/>
      <c r="F91" s="237"/>
      <c r="G91" s="237"/>
      <c r="H91" s="237"/>
      <c r="I91" s="237"/>
      <c r="J91" s="237"/>
      <c r="K91" s="22">
        <f>SUM(K87:K90)</f>
        <v>2556.9299999999998</v>
      </c>
      <c r="M91" s="179"/>
      <c r="N91" s="179"/>
      <c r="O91" s="179"/>
      <c r="P91" s="179"/>
      <c r="Q91" s="179"/>
      <c r="R91" s="179"/>
      <c r="S91" s="179"/>
      <c r="T91" s="179"/>
    </row>
    <row r="92" spans="1:20" ht="17.25" customHeight="1" x14ac:dyDescent="0.25">
      <c r="A92" s="237" t="s">
        <v>97</v>
      </c>
      <c r="B92" s="237"/>
      <c r="C92" s="237"/>
      <c r="D92" s="237"/>
      <c r="E92" s="237"/>
      <c r="F92" s="237"/>
      <c r="G92" s="237"/>
      <c r="H92" s="237"/>
      <c r="I92" s="237"/>
      <c r="J92" s="237"/>
      <c r="K92" s="22">
        <f>ROUND(K91/12,2)</f>
        <v>213.08</v>
      </c>
      <c r="M92" s="179"/>
      <c r="N92" s="179"/>
      <c r="O92" s="179"/>
      <c r="P92" s="179"/>
      <c r="Q92" s="179"/>
      <c r="R92" s="179"/>
      <c r="S92" s="179"/>
      <c r="T92" s="179"/>
    </row>
    <row r="93" spans="1:20" ht="17.25" customHeight="1" x14ac:dyDescent="0.25">
      <c r="A93" s="237" t="s">
        <v>147</v>
      </c>
      <c r="B93" s="237"/>
      <c r="C93" s="237"/>
      <c r="D93" s="237"/>
      <c r="E93" s="237"/>
      <c r="F93" s="237"/>
      <c r="G93" s="237"/>
      <c r="H93" s="237"/>
      <c r="I93" s="237"/>
      <c r="J93" s="237"/>
      <c r="K93" s="22">
        <f>ROUND(K89*40%,2)</f>
        <v>56.63</v>
      </c>
      <c r="M93" s="179"/>
      <c r="N93" s="179"/>
      <c r="O93" s="179"/>
      <c r="P93" s="179"/>
      <c r="Q93" s="179"/>
      <c r="R93" s="179"/>
      <c r="S93" s="179"/>
      <c r="T93" s="179"/>
    </row>
    <row r="94" spans="1:20" ht="17.25" customHeight="1" x14ac:dyDescent="0.25">
      <c r="A94" s="167" t="s">
        <v>98</v>
      </c>
      <c r="B94" s="167"/>
      <c r="C94" s="167"/>
      <c r="D94" s="167"/>
      <c r="E94" s="167"/>
      <c r="F94" s="167"/>
      <c r="G94" s="167"/>
      <c r="H94" s="167"/>
      <c r="I94" s="167"/>
      <c r="J94" s="167"/>
      <c r="K94" s="52">
        <f>ROUND(K92+K93,2)</f>
        <v>269.70999999999998</v>
      </c>
      <c r="M94" s="179"/>
      <c r="N94" s="179"/>
      <c r="O94" s="179"/>
      <c r="P94" s="179"/>
      <c r="Q94" s="179"/>
      <c r="R94" s="179"/>
      <c r="S94" s="179"/>
      <c r="T94" s="179"/>
    </row>
    <row r="95" spans="1:20" ht="17.25" customHeight="1" x14ac:dyDescent="0.25">
      <c r="A95" s="167" t="s">
        <v>99</v>
      </c>
      <c r="B95" s="167"/>
      <c r="C95" s="167"/>
      <c r="D95" s="167"/>
      <c r="E95" s="167"/>
      <c r="F95" s="167"/>
      <c r="G95" s="167"/>
      <c r="H95" s="212" t="s">
        <v>100</v>
      </c>
      <c r="I95" s="212"/>
      <c r="J95" s="212"/>
      <c r="K95" s="23" t="s">
        <v>101</v>
      </c>
      <c r="M95" s="179"/>
      <c r="N95" s="179"/>
      <c r="O95" s="179"/>
      <c r="P95" s="179"/>
      <c r="Q95" s="179"/>
      <c r="R95" s="179"/>
      <c r="S95" s="179"/>
      <c r="T95" s="179"/>
    </row>
    <row r="96" spans="1:20" ht="17.25" customHeight="1" x14ac:dyDescent="0.25">
      <c r="A96" s="167"/>
      <c r="B96" s="167"/>
      <c r="C96" s="167"/>
      <c r="D96" s="167"/>
      <c r="E96" s="167"/>
      <c r="F96" s="167"/>
      <c r="G96" s="167"/>
      <c r="H96" s="192">
        <v>0.5</v>
      </c>
      <c r="I96" s="192"/>
      <c r="J96" s="192"/>
      <c r="K96" s="52">
        <f>ROUND(H96*K94,2)</f>
        <v>134.86000000000001</v>
      </c>
      <c r="M96" s="179"/>
      <c r="N96" s="179"/>
      <c r="O96" s="179"/>
      <c r="P96" s="179"/>
      <c r="Q96" s="179"/>
      <c r="R96" s="179"/>
      <c r="S96" s="179"/>
      <c r="T96" s="179"/>
    </row>
    <row r="97" spans="1:20" ht="17.25" customHeight="1" x14ac:dyDescent="0.25">
      <c r="A97" s="189" t="s">
        <v>148</v>
      </c>
      <c r="B97" s="189"/>
      <c r="C97" s="189"/>
      <c r="D97" s="189"/>
      <c r="E97" s="189"/>
      <c r="F97" s="189"/>
      <c r="G97" s="189"/>
      <c r="H97" s="189"/>
      <c r="I97" s="189"/>
      <c r="J97" s="189"/>
      <c r="K97" s="19">
        <f>ROUND(K96,2)</f>
        <v>134.86000000000001</v>
      </c>
      <c r="M97" s="179"/>
      <c r="N97" s="179"/>
      <c r="O97" s="179"/>
      <c r="P97" s="179"/>
      <c r="Q97" s="179"/>
      <c r="R97" s="179"/>
      <c r="S97" s="179"/>
      <c r="T97" s="179"/>
    </row>
    <row r="98" spans="1:20" ht="17.25" customHeight="1" x14ac:dyDescent="0.25">
      <c r="A98" s="241" t="s">
        <v>102</v>
      </c>
      <c r="B98" s="241"/>
      <c r="C98" s="241"/>
      <c r="D98" s="241"/>
      <c r="E98" s="241"/>
      <c r="F98" s="241"/>
      <c r="G98" s="241"/>
      <c r="H98" s="241"/>
      <c r="I98" s="241"/>
      <c r="J98" s="241"/>
      <c r="K98" s="241"/>
      <c r="M98" s="179"/>
      <c r="N98" s="179"/>
      <c r="O98" s="179"/>
      <c r="P98" s="179"/>
      <c r="Q98" s="179"/>
      <c r="R98" s="179"/>
      <c r="S98" s="179"/>
      <c r="T98" s="179"/>
    </row>
    <row r="99" spans="1:20" ht="17.25" customHeight="1" x14ac:dyDescent="0.25">
      <c r="A99" s="237" t="s">
        <v>147</v>
      </c>
      <c r="B99" s="237"/>
      <c r="C99" s="237"/>
      <c r="D99" s="237"/>
      <c r="E99" s="237"/>
      <c r="F99" s="237"/>
      <c r="G99" s="237"/>
      <c r="H99" s="237"/>
      <c r="I99" s="237"/>
      <c r="J99" s="237"/>
      <c r="K99" s="22">
        <f>ROUND(K89*40%,2)</f>
        <v>56.63</v>
      </c>
      <c r="M99" s="179"/>
      <c r="N99" s="179"/>
      <c r="O99" s="179"/>
      <c r="P99" s="179"/>
      <c r="Q99" s="179"/>
      <c r="R99" s="179"/>
      <c r="S99" s="179"/>
      <c r="T99" s="179"/>
    </row>
    <row r="100" spans="1:20" ht="17.25" customHeight="1" x14ac:dyDescent="0.25">
      <c r="A100" s="167" t="s">
        <v>103</v>
      </c>
      <c r="B100" s="167"/>
      <c r="C100" s="167"/>
      <c r="D100" s="167"/>
      <c r="E100" s="167"/>
      <c r="F100" s="167"/>
      <c r="G100" s="167"/>
      <c r="H100" s="167"/>
      <c r="I100" s="167"/>
      <c r="J100" s="167"/>
      <c r="K100" s="52">
        <f>K99</f>
        <v>56.63</v>
      </c>
      <c r="M100" s="179"/>
      <c r="N100" s="179"/>
      <c r="O100" s="179"/>
      <c r="P100" s="179"/>
      <c r="Q100" s="179"/>
      <c r="R100" s="179"/>
      <c r="S100" s="179"/>
      <c r="T100" s="179"/>
    </row>
    <row r="101" spans="1:20" ht="17.25" customHeight="1" x14ac:dyDescent="0.25">
      <c r="A101" s="167" t="s">
        <v>104</v>
      </c>
      <c r="B101" s="167"/>
      <c r="C101" s="167"/>
      <c r="D101" s="167"/>
      <c r="E101" s="167"/>
      <c r="F101" s="167"/>
      <c r="G101" s="167"/>
      <c r="H101" s="212" t="s">
        <v>100</v>
      </c>
      <c r="I101" s="212"/>
      <c r="J101" s="212"/>
      <c r="K101" s="23" t="s">
        <v>101</v>
      </c>
      <c r="M101" s="179"/>
      <c r="N101" s="179"/>
      <c r="O101" s="179"/>
      <c r="P101" s="179"/>
      <c r="Q101" s="179"/>
      <c r="R101" s="179"/>
      <c r="S101" s="179"/>
      <c r="T101" s="179"/>
    </row>
    <row r="102" spans="1:20" ht="17.25" customHeight="1" x14ac:dyDescent="0.25">
      <c r="A102" s="167"/>
      <c r="B102" s="167"/>
      <c r="C102" s="167"/>
      <c r="D102" s="167"/>
      <c r="E102" s="167"/>
      <c r="F102" s="167"/>
      <c r="G102" s="167"/>
      <c r="H102" s="192">
        <v>0.5</v>
      </c>
      <c r="I102" s="192"/>
      <c r="J102" s="192"/>
      <c r="K102" s="52">
        <f>ROUND(H102*K100,2)</f>
        <v>28.32</v>
      </c>
      <c r="M102" s="179"/>
      <c r="N102" s="179"/>
      <c r="O102" s="179"/>
      <c r="P102" s="179"/>
      <c r="Q102" s="179"/>
      <c r="R102" s="179"/>
      <c r="S102" s="179"/>
      <c r="T102" s="179"/>
    </row>
    <row r="103" spans="1:20" ht="17.25" customHeight="1" x14ac:dyDescent="0.25">
      <c r="A103" s="189" t="s">
        <v>149</v>
      </c>
      <c r="B103" s="189"/>
      <c r="C103" s="189"/>
      <c r="D103" s="189"/>
      <c r="E103" s="189"/>
      <c r="F103" s="189"/>
      <c r="G103" s="189"/>
      <c r="H103" s="189"/>
      <c r="I103" s="189"/>
      <c r="J103" s="189"/>
      <c r="K103" s="19">
        <f>ROUND(K102,2)</f>
        <v>28.32</v>
      </c>
      <c r="M103" s="179"/>
      <c r="N103" s="179"/>
      <c r="O103" s="179"/>
      <c r="P103" s="179"/>
      <c r="Q103" s="179"/>
      <c r="R103" s="179"/>
      <c r="S103" s="179"/>
      <c r="T103" s="179"/>
    </row>
    <row r="104" spans="1:20" ht="17.25" customHeight="1" x14ac:dyDescent="0.25">
      <c r="A104" s="241" t="s">
        <v>150</v>
      </c>
      <c r="B104" s="241"/>
      <c r="C104" s="241"/>
      <c r="D104" s="241"/>
      <c r="E104" s="241"/>
      <c r="F104" s="241"/>
      <c r="G104" s="241"/>
      <c r="H104" s="241"/>
      <c r="I104" s="241"/>
      <c r="J104" s="241"/>
      <c r="K104" s="241"/>
      <c r="M104" s="179"/>
      <c r="N104" s="179"/>
      <c r="O104" s="179"/>
      <c r="P104" s="179"/>
      <c r="Q104" s="179"/>
      <c r="R104" s="179"/>
      <c r="S104" s="179"/>
      <c r="T104" s="179"/>
    </row>
    <row r="105" spans="1:20" ht="17.25" customHeight="1" x14ac:dyDescent="0.25">
      <c r="A105" s="242" t="s">
        <v>151</v>
      </c>
      <c r="B105" s="242"/>
      <c r="C105" s="242"/>
      <c r="D105" s="242"/>
      <c r="E105" s="242"/>
      <c r="F105" s="242"/>
      <c r="G105" s="242"/>
      <c r="H105" s="242"/>
      <c r="I105" s="242"/>
      <c r="J105" s="242"/>
      <c r="K105" s="22">
        <f>K97+K103</f>
        <v>163.18</v>
      </c>
      <c r="M105" s="179"/>
      <c r="N105" s="179"/>
      <c r="O105" s="179"/>
      <c r="P105" s="179"/>
      <c r="Q105" s="179"/>
      <c r="R105" s="179"/>
      <c r="S105" s="179"/>
      <c r="T105" s="179"/>
    </row>
    <row r="106" spans="1:20" ht="17.25" customHeight="1" x14ac:dyDescent="0.25">
      <c r="A106" s="242" t="s">
        <v>152</v>
      </c>
      <c r="B106" s="242"/>
      <c r="C106" s="242"/>
      <c r="D106" s="242"/>
      <c r="E106" s="242"/>
      <c r="F106" s="242"/>
      <c r="G106" s="242"/>
      <c r="H106" s="242"/>
      <c r="I106" s="242"/>
      <c r="J106" s="242"/>
      <c r="K106" s="22">
        <f>K105/10</f>
        <v>16.318000000000001</v>
      </c>
      <c r="M106" s="179"/>
      <c r="N106" s="179"/>
      <c r="O106" s="179"/>
      <c r="P106" s="179"/>
      <c r="Q106" s="179"/>
      <c r="R106" s="179"/>
      <c r="S106" s="179"/>
      <c r="T106" s="179"/>
    </row>
    <row r="107" spans="1:20" ht="30" customHeight="1" x14ac:dyDescent="0.25">
      <c r="A107" s="167" t="s">
        <v>153</v>
      </c>
      <c r="B107" s="167"/>
      <c r="C107" s="167"/>
      <c r="D107" s="167"/>
      <c r="E107" s="167"/>
      <c r="F107" s="167"/>
      <c r="G107" s="167"/>
      <c r="H107" s="243" t="s">
        <v>154</v>
      </c>
      <c r="I107" s="243"/>
      <c r="J107" s="243"/>
      <c r="K107" s="23" t="s">
        <v>101</v>
      </c>
      <c r="M107" s="179"/>
      <c r="N107" s="179"/>
      <c r="O107" s="179"/>
      <c r="P107" s="179"/>
      <c r="Q107" s="179"/>
      <c r="R107" s="179"/>
      <c r="S107" s="179"/>
      <c r="T107" s="179"/>
    </row>
    <row r="108" spans="1:20" ht="17.25" customHeight="1" x14ac:dyDescent="0.25">
      <c r="A108" s="167"/>
      <c r="B108" s="167"/>
      <c r="C108" s="167"/>
      <c r="D108" s="167"/>
      <c r="E108" s="167"/>
      <c r="F108" s="167"/>
      <c r="G108" s="167"/>
      <c r="H108" s="244">
        <v>0</v>
      </c>
      <c r="I108" s="244"/>
      <c r="J108" s="244"/>
      <c r="K108" s="52">
        <f>ROUND(K106*H108,2)</f>
        <v>0</v>
      </c>
      <c r="M108" s="179"/>
      <c r="N108" s="179"/>
      <c r="O108" s="179"/>
      <c r="P108" s="179"/>
      <c r="Q108" s="179"/>
      <c r="R108" s="179"/>
      <c r="S108" s="179"/>
      <c r="T108" s="179"/>
    </row>
    <row r="109" spans="1:20" ht="17.25" customHeight="1" x14ac:dyDescent="0.25">
      <c r="A109" s="189" t="s">
        <v>155</v>
      </c>
      <c r="B109" s="189"/>
      <c r="C109" s="189"/>
      <c r="D109" s="189"/>
      <c r="E109" s="189"/>
      <c r="F109" s="189"/>
      <c r="G109" s="189"/>
      <c r="H109" s="189"/>
      <c r="I109" s="189"/>
      <c r="J109" s="189"/>
      <c r="K109" s="19">
        <f>K108</f>
        <v>0</v>
      </c>
      <c r="M109" s="179"/>
      <c r="N109" s="179"/>
      <c r="O109" s="179"/>
      <c r="P109" s="179"/>
      <c r="Q109" s="179"/>
      <c r="R109" s="179"/>
      <c r="S109" s="179"/>
      <c r="T109" s="179"/>
    </row>
    <row r="110" spans="1:20" ht="17.25" customHeight="1" x14ac:dyDescent="0.25">
      <c r="A110" s="239" t="s">
        <v>105</v>
      </c>
      <c r="B110" s="239"/>
      <c r="C110" s="239"/>
      <c r="D110" s="239"/>
      <c r="E110" s="239"/>
      <c r="F110" s="239"/>
      <c r="G110" s="239"/>
      <c r="H110" s="239"/>
      <c r="I110" s="239"/>
      <c r="J110" s="239"/>
      <c r="K110" s="24">
        <f>K97+K103+K109</f>
        <v>163.18</v>
      </c>
      <c r="M110" s="179"/>
      <c r="N110" s="179"/>
      <c r="O110" s="179"/>
      <c r="P110" s="179"/>
      <c r="Q110" s="179"/>
      <c r="R110" s="179"/>
      <c r="S110" s="179"/>
      <c r="T110" s="179"/>
    </row>
    <row r="111" spans="1:20" ht="9.75" customHeight="1" x14ac:dyDescent="0.25">
      <c r="A111" s="165"/>
      <c r="B111" s="165"/>
      <c r="C111" s="165"/>
      <c r="D111" s="165"/>
      <c r="E111" s="165"/>
      <c r="F111" s="165"/>
      <c r="G111" s="165"/>
      <c r="H111" s="165"/>
      <c r="I111" s="165"/>
      <c r="J111" s="165"/>
      <c r="K111" s="165"/>
      <c r="M111" s="179"/>
      <c r="N111" s="179"/>
      <c r="O111" s="179"/>
      <c r="P111" s="179"/>
      <c r="Q111" s="179"/>
      <c r="R111" s="179"/>
      <c r="S111" s="179"/>
      <c r="T111" s="179"/>
    </row>
    <row r="112" spans="1:20" ht="17.25" customHeight="1" x14ac:dyDescent="0.25">
      <c r="A112" s="172" t="s">
        <v>106</v>
      </c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  <c r="M112" s="179"/>
      <c r="N112" s="179"/>
      <c r="O112" s="179"/>
      <c r="P112" s="179"/>
      <c r="Q112" s="179"/>
      <c r="R112" s="179"/>
      <c r="S112" s="179"/>
      <c r="T112" s="179"/>
    </row>
    <row r="113" spans="1:20" ht="17.25" customHeight="1" x14ac:dyDescent="0.25">
      <c r="A113" s="189" t="s">
        <v>107</v>
      </c>
      <c r="B113" s="189"/>
      <c r="C113" s="189"/>
      <c r="D113" s="189"/>
      <c r="E113" s="189"/>
      <c r="F113" s="189"/>
      <c r="G113" s="189"/>
      <c r="H113" s="189"/>
      <c r="I113" s="189"/>
      <c r="J113" s="189"/>
      <c r="K113" s="189"/>
      <c r="M113" s="179"/>
      <c r="N113" s="179"/>
      <c r="O113" s="179"/>
      <c r="P113" s="179"/>
      <c r="Q113" s="179"/>
      <c r="R113" s="179"/>
      <c r="S113" s="179"/>
      <c r="T113" s="179"/>
    </row>
    <row r="114" spans="1:20" ht="17.25" customHeight="1" x14ac:dyDescent="0.25">
      <c r="A114" s="189" t="s">
        <v>156</v>
      </c>
      <c r="B114" s="189"/>
      <c r="C114" s="189"/>
      <c r="D114" s="189"/>
      <c r="E114" s="189"/>
      <c r="F114" s="189"/>
      <c r="G114" s="189"/>
      <c r="H114" s="189"/>
      <c r="I114" s="189"/>
      <c r="J114" s="189"/>
      <c r="K114" s="189"/>
      <c r="M114" s="179"/>
      <c r="N114" s="179"/>
      <c r="O114" s="179"/>
      <c r="P114" s="179"/>
      <c r="Q114" s="179"/>
      <c r="R114" s="179"/>
      <c r="S114" s="179"/>
      <c r="T114" s="179"/>
    </row>
    <row r="115" spans="1:20" ht="39.75" customHeight="1" x14ac:dyDescent="0.25">
      <c r="A115" s="189" t="s">
        <v>157</v>
      </c>
      <c r="B115" s="189"/>
      <c r="C115" s="189"/>
      <c r="D115" s="189"/>
      <c r="E115" s="189"/>
      <c r="F115" s="58" t="s">
        <v>158</v>
      </c>
      <c r="G115" s="25" t="s">
        <v>159</v>
      </c>
      <c r="H115" s="189" t="s">
        <v>160</v>
      </c>
      <c r="I115" s="189"/>
      <c r="J115" s="189"/>
      <c r="K115" s="58" t="s">
        <v>161</v>
      </c>
      <c r="M115" s="179"/>
      <c r="N115" s="179"/>
      <c r="O115" s="179"/>
      <c r="P115" s="179"/>
      <c r="Q115" s="179"/>
      <c r="R115" s="179"/>
      <c r="S115" s="179"/>
      <c r="T115" s="179"/>
    </row>
    <row r="116" spans="1:20" ht="17.25" customHeight="1" x14ac:dyDescent="0.25">
      <c r="A116" s="167" t="s">
        <v>162</v>
      </c>
      <c r="B116" s="167"/>
      <c r="C116" s="167"/>
      <c r="D116" s="167"/>
      <c r="E116" s="167"/>
      <c r="F116" s="5">
        <v>1</v>
      </c>
      <c r="G116" s="54">
        <v>30</v>
      </c>
      <c r="H116" s="238">
        <f>255/365</f>
        <v>0.69863013698630139</v>
      </c>
      <c r="I116" s="238"/>
      <c r="J116" s="238"/>
      <c r="K116" s="26">
        <f>ROUND(F116*G116*H116,4)</f>
        <v>20.9589</v>
      </c>
      <c r="M116" s="179"/>
      <c r="N116" s="179"/>
      <c r="O116" s="179"/>
      <c r="P116" s="179"/>
      <c r="Q116" s="179"/>
      <c r="R116" s="179"/>
      <c r="S116" s="179"/>
      <c r="T116" s="179"/>
    </row>
    <row r="117" spans="1:20" ht="17.25" customHeight="1" x14ac:dyDescent="0.25">
      <c r="A117" s="167" t="s">
        <v>163</v>
      </c>
      <c r="B117" s="167"/>
      <c r="C117" s="167"/>
      <c r="D117" s="167"/>
      <c r="E117" s="167"/>
      <c r="F117" s="5">
        <v>1</v>
      </c>
      <c r="G117" s="54">
        <v>1</v>
      </c>
      <c r="H117" s="238">
        <v>1</v>
      </c>
      <c r="I117" s="238"/>
      <c r="J117" s="238"/>
      <c r="K117" s="26">
        <f t="shared" ref="K117:K127" si="1">ROUND(F117*G117*H117,4)</f>
        <v>1</v>
      </c>
      <c r="M117" s="179"/>
      <c r="N117" s="179"/>
      <c r="O117" s="179"/>
      <c r="P117" s="179"/>
      <c r="Q117" s="179"/>
      <c r="R117" s="179"/>
      <c r="S117" s="179"/>
      <c r="T117" s="179"/>
    </row>
    <row r="118" spans="1:20" ht="17.25" customHeight="1" x14ac:dyDescent="0.25">
      <c r="A118" s="167" t="s">
        <v>164</v>
      </c>
      <c r="B118" s="167"/>
      <c r="C118" s="167"/>
      <c r="D118" s="167"/>
      <c r="E118" s="167"/>
      <c r="F118" s="5">
        <v>9.2200000000000004E-2</v>
      </c>
      <c r="G118" s="54">
        <v>15</v>
      </c>
      <c r="H118" s="238">
        <f>255/365</f>
        <v>0.69863013698630139</v>
      </c>
      <c r="I118" s="238"/>
      <c r="J118" s="238"/>
      <c r="K118" s="26">
        <f t="shared" si="1"/>
        <v>0.96619999999999995</v>
      </c>
      <c r="M118" s="179"/>
      <c r="N118" s="179"/>
      <c r="O118" s="179"/>
      <c r="P118" s="179"/>
      <c r="Q118" s="179"/>
      <c r="R118" s="179"/>
      <c r="S118" s="179"/>
      <c r="T118" s="179"/>
    </row>
    <row r="119" spans="1:20" ht="17.25" customHeight="1" x14ac:dyDescent="0.25">
      <c r="A119" s="167" t="s">
        <v>165</v>
      </c>
      <c r="B119" s="167"/>
      <c r="C119" s="167"/>
      <c r="D119" s="167"/>
      <c r="E119" s="167"/>
      <c r="F119" s="5">
        <v>1</v>
      </c>
      <c r="G119" s="54">
        <v>5</v>
      </c>
      <c r="H119" s="238">
        <f>255/365</f>
        <v>0.69863013698630139</v>
      </c>
      <c r="I119" s="238"/>
      <c r="J119" s="238"/>
      <c r="K119" s="26">
        <f t="shared" si="1"/>
        <v>3.4931999999999999</v>
      </c>
      <c r="M119" s="179"/>
      <c r="N119" s="179"/>
      <c r="O119" s="179"/>
      <c r="P119" s="179"/>
      <c r="Q119" s="179"/>
      <c r="R119" s="179"/>
      <c r="S119" s="179"/>
      <c r="T119" s="179"/>
    </row>
    <row r="120" spans="1:20" ht="17.25" customHeight="1" x14ac:dyDescent="0.25">
      <c r="A120" s="167" t="s">
        <v>166</v>
      </c>
      <c r="B120" s="167"/>
      <c r="C120" s="167"/>
      <c r="D120" s="167"/>
      <c r="E120" s="167"/>
      <c r="F120" s="5">
        <v>0.13439999999999999</v>
      </c>
      <c r="G120" s="54">
        <v>2</v>
      </c>
      <c r="H120" s="238">
        <v>1</v>
      </c>
      <c r="I120" s="238"/>
      <c r="J120" s="238"/>
      <c r="K120" s="26">
        <f t="shared" si="1"/>
        <v>0.26879999999999998</v>
      </c>
      <c r="M120" s="179"/>
      <c r="N120" s="179"/>
      <c r="O120" s="179"/>
      <c r="P120" s="179"/>
      <c r="Q120" s="179"/>
      <c r="R120" s="179"/>
      <c r="S120" s="179"/>
      <c r="T120" s="179"/>
    </row>
    <row r="121" spans="1:20" ht="17.25" customHeight="1" x14ac:dyDescent="0.25">
      <c r="A121" s="167" t="s">
        <v>167</v>
      </c>
      <c r="B121" s="167"/>
      <c r="C121" s="167"/>
      <c r="D121" s="167"/>
      <c r="E121" s="167"/>
      <c r="F121" s="5">
        <v>3.0499999999999999E-2</v>
      </c>
      <c r="G121" s="54">
        <v>2</v>
      </c>
      <c r="H121" s="238">
        <f>255/365</f>
        <v>0.69863013698630139</v>
      </c>
      <c r="I121" s="238"/>
      <c r="J121" s="238"/>
      <c r="K121" s="26">
        <f t="shared" si="1"/>
        <v>4.2599999999999999E-2</v>
      </c>
      <c r="M121" s="179"/>
      <c r="N121" s="179"/>
      <c r="O121" s="179"/>
      <c r="P121" s="179"/>
      <c r="Q121" s="179"/>
      <c r="R121" s="179"/>
      <c r="S121" s="179"/>
      <c r="T121" s="179"/>
    </row>
    <row r="122" spans="1:20" ht="17.25" customHeight="1" x14ac:dyDescent="0.25">
      <c r="A122" s="167" t="s">
        <v>168</v>
      </c>
      <c r="B122" s="167"/>
      <c r="C122" s="167"/>
      <c r="D122" s="167"/>
      <c r="E122" s="167"/>
      <c r="F122" s="5">
        <v>1.18E-2</v>
      </c>
      <c r="G122" s="54">
        <v>3</v>
      </c>
      <c r="H122" s="238">
        <v>1</v>
      </c>
      <c r="I122" s="238"/>
      <c r="J122" s="238"/>
      <c r="K122" s="26">
        <f t="shared" si="1"/>
        <v>3.5400000000000001E-2</v>
      </c>
      <c r="M122" s="179"/>
      <c r="N122" s="179"/>
      <c r="O122" s="179"/>
      <c r="P122" s="179"/>
      <c r="Q122" s="179"/>
      <c r="R122" s="179"/>
      <c r="S122" s="179"/>
      <c r="T122" s="179"/>
    </row>
    <row r="123" spans="1:20" ht="17.25" customHeight="1" x14ac:dyDescent="0.25">
      <c r="A123" s="167" t="s">
        <v>169</v>
      </c>
      <c r="B123" s="167"/>
      <c r="C123" s="167"/>
      <c r="D123" s="167"/>
      <c r="E123" s="167"/>
      <c r="F123" s="5">
        <v>0.02</v>
      </c>
      <c r="G123" s="54">
        <v>1</v>
      </c>
      <c r="H123" s="238">
        <v>1</v>
      </c>
      <c r="I123" s="238"/>
      <c r="J123" s="238"/>
      <c r="K123" s="26">
        <f t="shared" si="1"/>
        <v>0.02</v>
      </c>
      <c r="M123" s="179"/>
      <c r="N123" s="179"/>
      <c r="O123" s="179"/>
      <c r="P123" s="179"/>
      <c r="Q123" s="179"/>
      <c r="R123" s="179"/>
      <c r="S123" s="179"/>
      <c r="T123" s="179"/>
    </row>
    <row r="124" spans="1:20" ht="17.25" customHeight="1" x14ac:dyDescent="0.25">
      <c r="A124" s="167" t="s">
        <v>170</v>
      </c>
      <c r="B124" s="167"/>
      <c r="C124" s="167"/>
      <c r="D124" s="167"/>
      <c r="E124" s="167"/>
      <c r="F124" s="5">
        <v>4.0000000000000001E-3</v>
      </c>
      <c r="G124" s="54">
        <v>1</v>
      </c>
      <c r="H124" s="238">
        <v>1</v>
      </c>
      <c r="I124" s="238"/>
      <c r="J124" s="238"/>
      <c r="K124" s="26">
        <f t="shared" si="1"/>
        <v>4.0000000000000001E-3</v>
      </c>
      <c r="M124" s="179"/>
      <c r="N124" s="179"/>
      <c r="O124" s="179"/>
      <c r="P124" s="179"/>
      <c r="Q124" s="179"/>
      <c r="R124" s="179"/>
      <c r="S124" s="179"/>
      <c r="T124" s="179"/>
    </row>
    <row r="125" spans="1:20" ht="17.25" customHeight="1" x14ac:dyDescent="0.25">
      <c r="A125" s="167" t="s">
        <v>171</v>
      </c>
      <c r="B125" s="167"/>
      <c r="C125" s="167"/>
      <c r="D125" s="167"/>
      <c r="E125" s="167"/>
      <c r="F125" s="5">
        <v>1.43E-2</v>
      </c>
      <c r="G125" s="54">
        <v>20</v>
      </c>
      <c r="H125" s="238">
        <f>255/365</f>
        <v>0.69863013698630139</v>
      </c>
      <c r="I125" s="238"/>
      <c r="J125" s="238"/>
      <c r="K125" s="26">
        <f t="shared" si="1"/>
        <v>0.19980000000000001</v>
      </c>
      <c r="M125" s="179"/>
      <c r="N125" s="179"/>
      <c r="O125" s="179"/>
      <c r="P125" s="179"/>
      <c r="Q125" s="179"/>
      <c r="R125" s="179"/>
      <c r="S125" s="179"/>
      <c r="T125" s="179"/>
    </row>
    <row r="126" spans="1:20" ht="17.25" customHeight="1" x14ac:dyDescent="0.25">
      <c r="A126" s="167" t="s">
        <v>172</v>
      </c>
      <c r="B126" s="167"/>
      <c r="C126" s="167"/>
      <c r="D126" s="167"/>
      <c r="E126" s="167"/>
      <c r="F126" s="5">
        <v>1.9699999999999999E-2</v>
      </c>
      <c r="G126" s="54">
        <v>180</v>
      </c>
      <c r="H126" s="238">
        <f>255/365</f>
        <v>0.69863013698630139</v>
      </c>
      <c r="I126" s="238"/>
      <c r="J126" s="238"/>
      <c r="K126" s="26">
        <f t="shared" si="1"/>
        <v>2.4773000000000001</v>
      </c>
      <c r="M126" s="179"/>
      <c r="N126" s="179"/>
      <c r="O126" s="179"/>
      <c r="P126" s="179"/>
      <c r="Q126" s="179"/>
      <c r="R126" s="179"/>
      <c r="S126" s="179"/>
      <c r="T126" s="179"/>
    </row>
    <row r="127" spans="1:20" ht="17.25" customHeight="1" x14ac:dyDescent="0.25">
      <c r="A127" s="167" t="s">
        <v>173</v>
      </c>
      <c r="B127" s="167"/>
      <c r="C127" s="167"/>
      <c r="D127" s="167"/>
      <c r="E127" s="167"/>
      <c r="F127" s="5">
        <v>1.6000000000000001E-3</v>
      </c>
      <c r="G127" s="54">
        <v>6</v>
      </c>
      <c r="H127" s="238">
        <v>1</v>
      </c>
      <c r="I127" s="238"/>
      <c r="J127" s="238"/>
      <c r="K127" s="26">
        <f t="shared" si="1"/>
        <v>9.5999999999999992E-3</v>
      </c>
      <c r="M127" s="179"/>
      <c r="N127" s="179"/>
      <c r="O127" s="179"/>
      <c r="P127" s="179"/>
      <c r="Q127" s="179"/>
      <c r="R127" s="179"/>
      <c r="S127" s="179"/>
      <c r="T127" s="179"/>
    </row>
    <row r="128" spans="1:20" ht="17.25" customHeight="1" x14ac:dyDescent="0.25">
      <c r="A128" s="245" t="s">
        <v>174</v>
      </c>
      <c r="B128" s="245"/>
      <c r="C128" s="245"/>
      <c r="D128" s="245"/>
      <c r="E128" s="245"/>
      <c r="F128" s="245"/>
      <c r="G128" s="245"/>
      <c r="H128" s="245"/>
      <c r="I128" s="245"/>
      <c r="J128" s="245"/>
      <c r="K128" s="27">
        <f>ROUND(SUM(K116:K127),0)</f>
        <v>29</v>
      </c>
      <c r="M128" s="179"/>
      <c r="N128" s="179"/>
      <c r="O128" s="179"/>
      <c r="P128" s="179"/>
      <c r="Q128" s="179"/>
      <c r="R128" s="179"/>
      <c r="S128" s="179"/>
      <c r="T128" s="179"/>
    </row>
    <row r="129" spans="1:20" ht="17.25" customHeight="1" x14ac:dyDescent="0.25">
      <c r="A129" s="237" t="s">
        <v>60</v>
      </c>
      <c r="B129" s="237"/>
      <c r="C129" s="237"/>
      <c r="D129" s="237"/>
      <c r="E129" s="237"/>
      <c r="F129" s="237"/>
      <c r="G129" s="237"/>
      <c r="H129" s="237"/>
      <c r="I129" s="237"/>
      <c r="J129" s="237"/>
      <c r="K129" s="22">
        <f>K35</f>
        <v>1481.56</v>
      </c>
      <c r="M129" s="179"/>
      <c r="N129" s="179"/>
      <c r="O129" s="179"/>
      <c r="P129" s="179"/>
      <c r="Q129" s="179"/>
      <c r="R129" s="179"/>
      <c r="S129" s="179"/>
      <c r="T129" s="179"/>
    </row>
    <row r="130" spans="1:20" ht="17.25" customHeight="1" x14ac:dyDescent="0.25">
      <c r="A130" s="237" t="s">
        <v>108</v>
      </c>
      <c r="B130" s="237"/>
      <c r="C130" s="237"/>
      <c r="D130" s="237"/>
      <c r="E130" s="237"/>
      <c r="F130" s="237"/>
      <c r="G130" s="237"/>
      <c r="H130" s="237"/>
      <c r="I130" s="237"/>
      <c r="J130" s="237"/>
      <c r="K130" s="22">
        <f>K83</f>
        <v>1585.01</v>
      </c>
      <c r="M130" s="179"/>
      <c r="N130" s="179"/>
      <c r="O130" s="179"/>
      <c r="P130" s="179"/>
      <c r="Q130" s="179"/>
      <c r="R130" s="179"/>
      <c r="S130" s="179"/>
      <c r="T130" s="179"/>
    </row>
    <row r="131" spans="1:20" ht="17.25" customHeight="1" x14ac:dyDescent="0.25">
      <c r="A131" s="237" t="s">
        <v>109</v>
      </c>
      <c r="B131" s="237"/>
      <c r="C131" s="237"/>
      <c r="D131" s="237"/>
      <c r="E131" s="237"/>
      <c r="F131" s="237"/>
      <c r="G131" s="237"/>
      <c r="H131" s="237"/>
      <c r="I131" s="237"/>
      <c r="J131" s="237"/>
      <c r="K131" s="22">
        <f>K110</f>
        <v>163.18</v>
      </c>
      <c r="M131" s="179"/>
      <c r="N131" s="179"/>
      <c r="O131" s="179"/>
      <c r="P131" s="179"/>
      <c r="Q131" s="179"/>
      <c r="R131" s="179"/>
      <c r="S131" s="179"/>
      <c r="T131" s="179"/>
    </row>
    <row r="132" spans="1:20" ht="17.25" customHeight="1" x14ac:dyDescent="0.25">
      <c r="A132" s="237" t="s">
        <v>110</v>
      </c>
      <c r="B132" s="237"/>
      <c r="C132" s="237"/>
      <c r="D132" s="237"/>
      <c r="E132" s="237"/>
      <c r="F132" s="237"/>
      <c r="G132" s="237"/>
      <c r="H132" s="237"/>
      <c r="I132" s="237"/>
      <c r="J132" s="237"/>
      <c r="K132" s="22">
        <f>K129+K130+K131</f>
        <v>3229.7499999999995</v>
      </c>
      <c r="M132" s="179"/>
      <c r="N132" s="179"/>
      <c r="O132" s="179"/>
      <c r="P132" s="179"/>
      <c r="Q132" s="179"/>
      <c r="R132" s="179"/>
      <c r="S132" s="179"/>
      <c r="T132" s="179"/>
    </row>
    <row r="133" spans="1:20" ht="17.25" customHeight="1" x14ac:dyDescent="0.25">
      <c r="A133" s="237" t="s">
        <v>175</v>
      </c>
      <c r="B133" s="237"/>
      <c r="C133" s="237"/>
      <c r="D133" s="237"/>
      <c r="E133" s="237"/>
      <c r="F133" s="237"/>
      <c r="G133" s="237"/>
      <c r="H133" s="237"/>
      <c r="I133" s="237"/>
      <c r="J133" s="237"/>
      <c r="K133" s="28">
        <f>ROUND(K132/30,2)</f>
        <v>107.66</v>
      </c>
      <c r="M133" s="179"/>
      <c r="N133" s="179"/>
      <c r="O133" s="179"/>
      <c r="P133" s="179"/>
      <c r="Q133" s="179"/>
      <c r="R133" s="179"/>
      <c r="S133" s="179"/>
      <c r="T133" s="179"/>
    </row>
    <row r="134" spans="1:20" ht="17.25" customHeight="1" x14ac:dyDescent="0.25">
      <c r="A134" s="237" t="s">
        <v>176</v>
      </c>
      <c r="B134" s="237"/>
      <c r="C134" s="237"/>
      <c r="D134" s="237"/>
      <c r="E134" s="237"/>
      <c r="F134" s="237"/>
      <c r="G134" s="237"/>
      <c r="H134" s="237"/>
      <c r="I134" s="237"/>
      <c r="J134" s="237"/>
      <c r="K134" s="28">
        <f>ROUND(K133*K128,2)</f>
        <v>3122.14</v>
      </c>
      <c r="M134" s="179"/>
      <c r="N134" s="179"/>
      <c r="O134" s="179"/>
      <c r="P134" s="179"/>
      <c r="Q134" s="179"/>
      <c r="R134" s="179"/>
      <c r="S134" s="179"/>
      <c r="T134" s="179"/>
    </row>
    <row r="135" spans="1:20" ht="17.25" customHeight="1" x14ac:dyDescent="0.25">
      <c r="A135" s="237" t="s">
        <v>177</v>
      </c>
      <c r="B135" s="237"/>
      <c r="C135" s="237"/>
      <c r="D135" s="237"/>
      <c r="E135" s="237"/>
      <c r="F135" s="237"/>
      <c r="G135" s="237"/>
      <c r="H135" s="237"/>
      <c r="I135" s="237"/>
      <c r="J135" s="237"/>
      <c r="K135" s="28">
        <f>ROUND(K134/12,2)</f>
        <v>260.18</v>
      </c>
      <c r="M135" s="179"/>
      <c r="N135" s="179"/>
      <c r="O135" s="179"/>
      <c r="P135" s="179"/>
      <c r="Q135" s="179"/>
      <c r="R135" s="179"/>
      <c r="S135" s="179"/>
      <c r="T135" s="179"/>
    </row>
    <row r="136" spans="1:20" ht="17.25" customHeight="1" x14ac:dyDescent="0.25">
      <c r="A136" s="189" t="s">
        <v>111</v>
      </c>
      <c r="B136" s="189"/>
      <c r="C136" s="189"/>
      <c r="D136" s="189"/>
      <c r="E136" s="189"/>
      <c r="F136" s="189"/>
      <c r="G136" s="189"/>
      <c r="H136" s="189"/>
      <c r="I136" s="189"/>
      <c r="J136" s="189"/>
      <c r="K136" s="19">
        <f>K135</f>
        <v>260.18</v>
      </c>
      <c r="M136" s="179"/>
      <c r="N136" s="179"/>
      <c r="O136" s="179"/>
      <c r="P136" s="179"/>
      <c r="Q136" s="179"/>
      <c r="R136" s="179"/>
      <c r="S136" s="179"/>
      <c r="T136" s="179"/>
    </row>
    <row r="137" spans="1:20" s="130" customFormat="1" ht="5.25" customHeight="1" x14ac:dyDescent="0.25">
      <c r="A137" s="209"/>
      <c r="B137" s="209"/>
      <c r="C137" s="209"/>
      <c r="D137" s="209"/>
      <c r="E137" s="209"/>
      <c r="F137" s="209"/>
      <c r="G137" s="209"/>
      <c r="H137" s="209"/>
      <c r="I137" s="209"/>
      <c r="J137" s="209"/>
      <c r="K137" s="209"/>
      <c r="M137" s="127"/>
      <c r="N137" s="127"/>
      <c r="O137" s="127"/>
      <c r="P137" s="127"/>
      <c r="Q137" s="127"/>
      <c r="R137" s="127"/>
      <c r="S137" s="127"/>
      <c r="T137" s="127"/>
    </row>
    <row r="138" spans="1:20" ht="17.25" customHeight="1" x14ac:dyDescent="0.25">
      <c r="A138" s="212" t="s">
        <v>112</v>
      </c>
      <c r="B138" s="212"/>
      <c r="C138" s="212"/>
      <c r="D138" s="212"/>
      <c r="E138" s="212"/>
      <c r="F138" s="212"/>
      <c r="G138" s="212"/>
      <c r="H138" s="212"/>
      <c r="I138" s="212"/>
      <c r="J138" s="212"/>
      <c r="K138" s="212"/>
    </row>
    <row r="139" spans="1:20" ht="17.25" customHeight="1" x14ac:dyDescent="0.25">
      <c r="A139" s="201"/>
      <c r="B139" s="201"/>
      <c r="C139" s="201"/>
      <c r="D139" s="201"/>
      <c r="E139" s="201"/>
      <c r="F139" s="201"/>
      <c r="G139" s="201"/>
      <c r="H139" s="201"/>
      <c r="I139" s="201"/>
      <c r="J139" s="201"/>
      <c r="K139" s="53" t="s">
        <v>35</v>
      </c>
    </row>
    <row r="140" spans="1:20" ht="17.25" customHeight="1" x14ac:dyDescent="0.25">
      <c r="A140" s="54" t="s">
        <v>7</v>
      </c>
      <c r="B140" s="171" t="s">
        <v>113</v>
      </c>
      <c r="C140" s="171"/>
      <c r="D140" s="171"/>
      <c r="E140" s="171"/>
      <c r="F140" s="171"/>
      <c r="G140" s="171"/>
      <c r="H140" s="171"/>
      <c r="I140" s="171"/>
      <c r="J140" s="171"/>
      <c r="K140" s="52">
        <v>0</v>
      </c>
    </row>
    <row r="141" spans="1:20" ht="17.25" customHeight="1" x14ac:dyDescent="0.25">
      <c r="A141" s="189" t="s">
        <v>114</v>
      </c>
      <c r="B141" s="189"/>
      <c r="C141" s="189"/>
      <c r="D141" s="189"/>
      <c r="E141" s="189"/>
      <c r="F141" s="189"/>
      <c r="G141" s="189"/>
      <c r="H141" s="189"/>
      <c r="I141" s="189"/>
      <c r="J141" s="189"/>
      <c r="K141" s="19">
        <f>K140</f>
        <v>0</v>
      </c>
    </row>
    <row r="142" spans="1:20" ht="5.25" customHeight="1" x14ac:dyDescent="0.25">
      <c r="A142" s="167"/>
      <c r="B142" s="167"/>
      <c r="C142" s="167"/>
      <c r="D142" s="167"/>
      <c r="E142" s="167"/>
      <c r="F142" s="167"/>
      <c r="G142" s="167"/>
      <c r="H142" s="167"/>
      <c r="I142" s="167"/>
      <c r="J142" s="167"/>
      <c r="K142" s="167"/>
    </row>
    <row r="143" spans="1:20" ht="17.25" customHeight="1" x14ac:dyDescent="0.25">
      <c r="A143" s="172" t="s">
        <v>115</v>
      </c>
      <c r="B143" s="172"/>
      <c r="C143" s="172"/>
      <c r="D143" s="172"/>
      <c r="E143" s="172"/>
      <c r="F143" s="172"/>
      <c r="G143" s="172"/>
      <c r="H143" s="172"/>
      <c r="I143" s="172"/>
      <c r="J143" s="172"/>
      <c r="K143" s="17">
        <f>SUM(K136,K141)</f>
        <v>260.18</v>
      </c>
    </row>
    <row r="144" spans="1:20" ht="6.75" customHeight="1" x14ac:dyDescent="0.25">
      <c r="A144" s="165"/>
      <c r="B144" s="165"/>
      <c r="C144" s="165"/>
      <c r="D144" s="165"/>
      <c r="E144" s="165"/>
      <c r="F144" s="165"/>
      <c r="G144" s="165"/>
      <c r="H144" s="165"/>
      <c r="I144" s="165"/>
      <c r="J144" s="165"/>
      <c r="K144" s="165"/>
    </row>
    <row r="145" spans="1:20" ht="17.25" customHeight="1" x14ac:dyDescent="0.25">
      <c r="A145" s="172" t="s">
        <v>116</v>
      </c>
      <c r="B145" s="172"/>
      <c r="C145" s="172"/>
      <c r="D145" s="172"/>
      <c r="E145" s="172"/>
      <c r="F145" s="172"/>
      <c r="G145" s="172"/>
      <c r="H145" s="172"/>
      <c r="I145" s="172"/>
      <c r="J145" s="172"/>
      <c r="K145" s="172"/>
    </row>
    <row r="146" spans="1:20" ht="17.25" customHeight="1" x14ac:dyDescent="0.25">
      <c r="A146" s="54" t="s">
        <v>7</v>
      </c>
      <c r="B146" s="171" t="s">
        <v>117</v>
      </c>
      <c r="C146" s="171"/>
      <c r="D146" s="171"/>
      <c r="E146" s="171"/>
      <c r="F146" s="171"/>
      <c r="G146" s="171"/>
      <c r="H146" s="171"/>
      <c r="I146" s="171"/>
      <c r="J146" s="171"/>
      <c r="K146" s="59">
        <f>UNIFORMES!F11</f>
        <v>81.304999999999993</v>
      </c>
    </row>
    <row r="147" spans="1:20" ht="17.25" customHeight="1" x14ac:dyDescent="0.25">
      <c r="A147" s="54" t="s">
        <v>9</v>
      </c>
      <c r="B147" s="171" t="s">
        <v>118</v>
      </c>
      <c r="C147" s="171"/>
      <c r="D147" s="171"/>
      <c r="E147" s="171"/>
      <c r="F147" s="171"/>
      <c r="G147" s="171"/>
      <c r="H147" s="171"/>
      <c r="I147" s="171"/>
      <c r="J147" s="171"/>
      <c r="K147" s="59">
        <f>INSUMOS!J21+INSUMOS!J51</f>
        <v>379.25286999999992</v>
      </c>
    </row>
    <row r="148" spans="1:20" ht="17.25" customHeight="1" x14ac:dyDescent="0.25">
      <c r="A148" s="54" t="s">
        <v>11</v>
      </c>
      <c r="B148" s="185" t="s">
        <v>49</v>
      </c>
      <c r="C148" s="185"/>
      <c r="D148" s="185"/>
      <c r="E148" s="185"/>
      <c r="F148" s="185"/>
      <c r="G148" s="185"/>
      <c r="H148" s="185"/>
      <c r="I148" s="185"/>
      <c r="J148" s="185"/>
      <c r="K148" s="59"/>
      <c r="M148" s="132"/>
      <c r="N148" s="132"/>
      <c r="O148" s="133"/>
      <c r="P148" s="133"/>
    </row>
    <row r="149" spans="1:20" ht="17.25" customHeight="1" x14ac:dyDescent="0.25">
      <c r="A149" s="172" t="s">
        <v>119</v>
      </c>
      <c r="B149" s="172"/>
      <c r="C149" s="172"/>
      <c r="D149" s="172"/>
      <c r="E149" s="172"/>
      <c r="F149" s="172"/>
      <c r="G149" s="172"/>
      <c r="H149" s="172"/>
      <c r="I149" s="172"/>
      <c r="J149" s="172"/>
      <c r="K149" s="29">
        <f>SUM(K146:K148)</f>
        <v>460.55786999999992</v>
      </c>
      <c r="M149" s="133"/>
      <c r="N149" s="133"/>
      <c r="O149" s="133"/>
      <c r="P149" s="133"/>
    </row>
    <row r="150" spans="1:20" s="134" customFormat="1" ht="17.25" customHeight="1" x14ac:dyDescent="0.25">
      <c r="A150" s="246"/>
      <c r="B150" s="246"/>
      <c r="C150" s="246"/>
      <c r="D150" s="246"/>
      <c r="E150" s="246"/>
      <c r="F150" s="246"/>
      <c r="G150" s="246"/>
      <c r="H150" s="246"/>
      <c r="I150" s="246"/>
      <c r="J150" s="246"/>
      <c r="K150" s="246"/>
      <c r="M150" s="127"/>
      <c r="N150" s="127"/>
      <c r="O150" s="127"/>
      <c r="P150" s="127"/>
      <c r="Q150" s="127"/>
      <c r="R150" s="127"/>
      <c r="S150" s="127"/>
      <c r="T150" s="127"/>
    </row>
    <row r="151" spans="1:20" ht="17.25" customHeight="1" x14ac:dyDescent="0.25">
      <c r="A151" s="172" t="s">
        <v>120</v>
      </c>
      <c r="B151" s="172"/>
      <c r="C151" s="172"/>
      <c r="D151" s="172"/>
      <c r="E151" s="172"/>
      <c r="F151" s="172"/>
      <c r="G151" s="172"/>
      <c r="H151" s="172"/>
      <c r="I151" s="172"/>
      <c r="J151" s="172"/>
      <c r="K151" s="17">
        <f>SUM(K35,K83,K110,K143,K149)</f>
        <v>3950.4878699999995</v>
      </c>
      <c r="M151" s="135"/>
    </row>
    <row r="152" spans="1:20" s="134" customFormat="1" ht="17.25" customHeight="1" x14ac:dyDescent="0.25">
      <c r="A152" s="246"/>
      <c r="B152" s="246"/>
      <c r="C152" s="246"/>
      <c r="D152" s="246"/>
      <c r="E152" s="246"/>
      <c r="F152" s="246"/>
      <c r="G152" s="246"/>
      <c r="H152" s="246"/>
      <c r="I152" s="246"/>
      <c r="J152" s="246"/>
      <c r="K152" s="246"/>
      <c r="M152" s="127"/>
      <c r="N152" s="127"/>
      <c r="O152" s="127"/>
      <c r="P152" s="127"/>
      <c r="Q152" s="127"/>
      <c r="R152" s="127"/>
      <c r="S152" s="127"/>
      <c r="T152" s="127"/>
    </row>
    <row r="153" spans="1:20" ht="6.75" customHeight="1" x14ac:dyDescent="0.25">
      <c r="A153" s="165"/>
      <c r="B153" s="165"/>
      <c r="C153" s="165"/>
      <c r="D153" s="165"/>
      <c r="E153" s="165"/>
      <c r="F153" s="165"/>
      <c r="G153" s="165"/>
      <c r="H153" s="165"/>
      <c r="I153" s="165"/>
      <c r="J153" s="165"/>
      <c r="K153" s="165"/>
    </row>
    <row r="154" spans="1:20" ht="17.25" customHeight="1" x14ac:dyDescent="0.25">
      <c r="A154" s="172" t="s">
        <v>121</v>
      </c>
      <c r="B154" s="172"/>
      <c r="C154" s="172"/>
      <c r="D154" s="172"/>
      <c r="E154" s="172"/>
      <c r="F154" s="172"/>
      <c r="G154" s="172"/>
      <c r="H154" s="172"/>
      <c r="I154" s="172"/>
      <c r="J154" s="172"/>
      <c r="K154" s="172"/>
    </row>
    <row r="155" spans="1:20" ht="17.25" customHeight="1" x14ac:dyDescent="0.25">
      <c r="A155" s="201"/>
      <c r="B155" s="201"/>
      <c r="C155" s="201"/>
      <c r="D155" s="201"/>
      <c r="E155" s="201"/>
      <c r="F155" s="201"/>
      <c r="G155" s="172" t="s">
        <v>53</v>
      </c>
      <c r="H155" s="172"/>
      <c r="I155" s="247" t="s">
        <v>122</v>
      </c>
      <c r="J155" s="247"/>
      <c r="K155" s="53" t="s">
        <v>35</v>
      </c>
    </row>
    <row r="156" spans="1:20" ht="17.25" customHeight="1" x14ac:dyDescent="0.25">
      <c r="A156" s="54" t="s">
        <v>7</v>
      </c>
      <c r="B156" s="171" t="s">
        <v>123</v>
      </c>
      <c r="C156" s="171"/>
      <c r="D156" s="171"/>
      <c r="E156" s="171"/>
      <c r="F156" s="171"/>
      <c r="G156" s="192">
        <v>5.8099999999999999E-2</v>
      </c>
      <c r="H156" s="192"/>
      <c r="I156" s="202">
        <f>K151</f>
        <v>3950.4878699999995</v>
      </c>
      <c r="J156" s="202"/>
      <c r="K156" s="52">
        <f>ROUND(I156*G156,2)</f>
        <v>229.52</v>
      </c>
      <c r="M156" s="252" t="s">
        <v>222</v>
      </c>
      <c r="N156" s="253"/>
      <c r="O156" s="253"/>
      <c r="P156" s="253"/>
      <c r="Q156" s="253"/>
      <c r="R156" s="253"/>
      <c r="S156" s="253"/>
      <c r="T156" s="254"/>
    </row>
    <row r="157" spans="1:20" ht="17.25" customHeight="1" x14ac:dyDescent="0.25">
      <c r="A157" s="54" t="s">
        <v>9</v>
      </c>
      <c r="B157" s="171" t="s">
        <v>124</v>
      </c>
      <c r="C157" s="171"/>
      <c r="D157" s="171"/>
      <c r="E157" s="171"/>
      <c r="F157" s="171"/>
      <c r="G157" s="192">
        <v>7.1999999999999995E-2</v>
      </c>
      <c r="H157" s="192"/>
      <c r="I157" s="202">
        <f>I156+K156</f>
        <v>4180.0078699999995</v>
      </c>
      <c r="J157" s="202"/>
      <c r="K157" s="52">
        <f>ROUND(I157*G157,2)</f>
        <v>300.95999999999998</v>
      </c>
      <c r="M157" s="255"/>
      <c r="N157" s="256"/>
      <c r="O157" s="256"/>
      <c r="P157" s="256"/>
      <c r="Q157" s="256"/>
      <c r="R157" s="256"/>
      <c r="S157" s="256"/>
      <c r="T157" s="257"/>
    </row>
    <row r="158" spans="1:20" ht="17.25" customHeight="1" x14ac:dyDescent="0.25">
      <c r="A158" s="167" t="s">
        <v>11</v>
      </c>
      <c r="B158" s="167" t="s">
        <v>125</v>
      </c>
      <c r="C158" s="167"/>
      <c r="D158" s="167" t="s">
        <v>126</v>
      </c>
      <c r="E158" s="167"/>
      <c r="F158" s="54" t="s">
        <v>127</v>
      </c>
      <c r="G158" s="192">
        <v>6.4999999999999997E-3</v>
      </c>
      <c r="H158" s="192"/>
      <c r="I158" s="202">
        <f>I157+K157</f>
        <v>4480.9678699999995</v>
      </c>
      <c r="J158" s="202"/>
      <c r="K158" s="52">
        <f>ROUND(($I$158/(1-$G$165)*G158),2)</f>
        <v>31.54</v>
      </c>
      <c r="M158" s="248" t="s">
        <v>128</v>
      </c>
      <c r="N158" s="248"/>
      <c r="O158" s="248"/>
      <c r="P158" s="248"/>
      <c r="Q158" s="248"/>
      <c r="R158" s="248"/>
      <c r="S158" s="248"/>
      <c r="T158" s="248"/>
    </row>
    <row r="159" spans="1:20" ht="17.25" customHeight="1" x14ac:dyDescent="0.25">
      <c r="A159" s="167"/>
      <c r="B159" s="167"/>
      <c r="C159" s="167"/>
      <c r="D159" s="167"/>
      <c r="E159" s="167"/>
      <c r="F159" s="54" t="s">
        <v>129</v>
      </c>
      <c r="G159" s="192">
        <v>0.03</v>
      </c>
      <c r="H159" s="192"/>
      <c r="I159" s="202"/>
      <c r="J159" s="202"/>
      <c r="K159" s="52">
        <f>ROUND(($I$158/(1-$G$165)*G159),2)</f>
        <v>145.56</v>
      </c>
      <c r="M159" s="249" t="s">
        <v>130</v>
      </c>
      <c r="N159" s="250"/>
      <c r="O159" s="250"/>
      <c r="P159" s="250"/>
      <c r="Q159" s="250"/>
      <c r="R159" s="250"/>
      <c r="S159" s="250"/>
      <c r="T159" s="251"/>
    </row>
    <row r="160" spans="1:20" ht="17.25" customHeight="1" x14ac:dyDescent="0.25">
      <c r="A160" s="167"/>
      <c r="B160" s="167"/>
      <c r="C160" s="167"/>
      <c r="D160" s="167"/>
      <c r="E160" s="167"/>
      <c r="F160" s="56" t="s">
        <v>131</v>
      </c>
      <c r="G160" s="192"/>
      <c r="H160" s="192"/>
      <c r="I160" s="202"/>
      <c r="J160" s="202"/>
      <c r="K160" s="52">
        <f>ROUND(($I$158/(1-$G$165)*G160),2)</f>
        <v>0</v>
      </c>
      <c r="M160" s="249" t="s">
        <v>132</v>
      </c>
      <c r="N160" s="250"/>
      <c r="O160" s="250"/>
      <c r="P160" s="250"/>
      <c r="Q160" s="250"/>
      <c r="R160" s="250"/>
      <c r="S160" s="250"/>
      <c r="T160" s="251"/>
    </row>
    <row r="161" spans="1:13" ht="17.25" customHeight="1" x14ac:dyDescent="0.25">
      <c r="A161" s="167"/>
      <c r="B161" s="167"/>
      <c r="C161" s="167"/>
      <c r="D161" s="167" t="s">
        <v>133</v>
      </c>
      <c r="E161" s="167"/>
      <c r="F161" s="54" t="s">
        <v>134</v>
      </c>
      <c r="G161" s="192">
        <v>0.04</v>
      </c>
      <c r="H161" s="192"/>
      <c r="I161" s="202"/>
      <c r="J161" s="202"/>
      <c r="K161" s="202">
        <f>ROUND(($I$158/(1-$G$165)*G161),2)</f>
        <v>194.09</v>
      </c>
    </row>
    <row r="162" spans="1:13" ht="17.25" customHeight="1" x14ac:dyDescent="0.25">
      <c r="A162" s="167"/>
      <c r="B162" s="167"/>
      <c r="C162" s="167"/>
      <c r="D162" s="167"/>
      <c r="E162" s="167"/>
      <c r="F162" s="30" t="str">
        <f>K11</f>
        <v>Campinas / SP</v>
      </c>
      <c r="G162" s="192"/>
      <c r="H162" s="192"/>
      <c r="I162" s="202"/>
      <c r="J162" s="202"/>
      <c r="K162" s="202"/>
    </row>
    <row r="163" spans="1:13" ht="17.25" customHeight="1" x14ac:dyDescent="0.25">
      <c r="A163" s="167"/>
      <c r="B163" s="167"/>
      <c r="C163" s="167"/>
      <c r="D163" s="167"/>
      <c r="E163" s="167"/>
      <c r="F163" s="56" t="s">
        <v>131</v>
      </c>
      <c r="G163" s="192"/>
      <c r="H163" s="192"/>
      <c r="I163" s="202"/>
      <c r="J163" s="202"/>
      <c r="K163" s="52">
        <f>ROUND(($I$158/(1-$G$165)*G163),2)</f>
        <v>0</v>
      </c>
    </row>
    <row r="164" spans="1:13" ht="17.25" customHeight="1" x14ac:dyDescent="0.25">
      <c r="A164" s="167"/>
      <c r="B164" s="167"/>
      <c r="C164" s="167"/>
      <c r="D164" s="211" t="s">
        <v>135</v>
      </c>
      <c r="E164" s="211"/>
      <c r="F164" s="56"/>
      <c r="G164" s="192"/>
      <c r="H164" s="192"/>
      <c r="I164" s="202"/>
      <c r="J164" s="202"/>
      <c r="K164" s="52">
        <f>ROUND(($I$158/(1-$G$165)*G164),2)</f>
        <v>0</v>
      </c>
    </row>
    <row r="165" spans="1:13" ht="17.25" customHeight="1" x14ac:dyDescent="0.25">
      <c r="A165" s="167"/>
      <c r="B165" s="212" t="s">
        <v>136</v>
      </c>
      <c r="C165" s="212"/>
      <c r="D165" s="212"/>
      <c r="E165" s="212"/>
      <c r="F165" s="212"/>
      <c r="G165" s="258">
        <f>SUM(G158:H164)</f>
        <v>7.6499999999999999E-2</v>
      </c>
      <c r="H165" s="258"/>
      <c r="I165" s="259"/>
      <c r="J165" s="259"/>
      <c r="K165" s="31"/>
      <c r="M165" s="136"/>
    </row>
    <row r="166" spans="1:13" ht="17.25" customHeight="1" x14ac:dyDescent="0.25">
      <c r="A166" s="172" t="s">
        <v>137</v>
      </c>
      <c r="B166" s="172"/>
      <c r="C166" s="172"/>
      <c r="D166" s="172"/>
      <c r="E166" s="172"/>
      <c r="F166" s="172"/>
      <c r="G166" s="172"/>
      <c r="H166" s="172"/>
      <c r="I166" s="260">
        <f>((1+G156)*(1+G157))/(1-G165)-1</f>
        <v>0.22824385489983756</v>
      </c>
      <c r="J166" s="260"/>
      <c r="K166" s="17">
        <f>ROUND(SUM(K156:K164),2)</f>
        <v>901.67</v>
      </c>
    </row>
    <row r="167" spans="1:13" ht="6" customHeight="1" x14ac:dyDescent="0.25">
      <c r="A167" s="167"/>
      <c r="B167" s="167"/>
      <c r="C167" s="167"/>
      <c r="D167" s="167"/>
      <c r="E167" s="167"/>
      <c r="F167" s="167"/>
      <c r="G167" s="167"/>
      <c r="H167" s="167"/>
      <c r="I167" s="167"/>
      <c r="J167" s="167"/>
      <c r="K167" s="167"/>
    </row>
    <row r="168" spans="1:13" ht="19.5" customHeight="1" x14ac:dyDescent="0.25">
      <c r="A168" s="261" t="s">
        <v>138</v>
      </c>
      <c r="B168" s="261"/>
      <c r="C168" s="261"/>
      <c r="D168" s="261"/>
      <c r="E168" s="261"/>
      <c r="F168" s="261"/>
      <c r="G168" s="261"/>
      <c r="H168" s="261"/>
      <c r="I168" s="261"/>
      <c r="J168" s="261"/>
      <c r="K168" s="55" t="s">
        <v>35</v>
      </c>
    </row>
    <row r="169" spans="1:13" ht="17.25" customHeight="1" x14ac:dyDescent="0.25">
      <c r="A169" s="54" t="s">
        <v>7</v>
      </c>
      <c r="B169" s="171" t="s">
        <v>60</v>
      </c>
      <c r="C169" s="171"/>
      <c r="D169" s="171"/>
      <c r="E169" s="171"/>
      <c r="F169" s="171"/>
      <c r="G169" s="171"/>
      <c r="H169" s="171"/>
      <c r="I169" s="171"/>
      <c r="J169" s="171"/>
      <c r="K169" s="52">
        <f>K35</f>
        <v>1481.56</v>
      </c>
    </row>
    <row r="170" spans="1:13" ht="17.25" customHeight="1" x14ac:dyDescent="0.25">
      <c r="A170" s="54" t="s">
        <v>9</v>
      </c>
      <c r="B170" s="171" t="s">
        <v>108</v>
      </c>
      <c r="C170" s="171"/>
      <c r="D170" s="171"/>
      <c r="E170" s="171"/>
      <c r="F170" s="171"/>
      <c r="G170" s="171"/>
      <c r="H170" s="171"/>
      <c r="I170" s="171"/>
      <c r="J170" s="171"/>
      <c r="K170" s="52">
        <f>K83</f>
        <v>1585.01</v>
      </c>
    </row>
    <row r="171" spans="1:13" ht="17.25" customHeight="1" x14ac:dyDescent="0.25">
      <c r="A171" s="54" t="s">
        <v>11</v>
      </c>
      <c r="B171" s="171" t="s">
        <v>109</v>
      </c>
      <c r="C171" s="171"/>
      <c r="D171" s="171"/>
      <c r="E171" s="171"/>
      <c r="F171" s="171"/>
      <c r="G171" s="171"/>
      <c r="H171" s="171"/>
      <c r="I171" s="171"/>
      <c r="J171" s="171"/>
      <c r="K171" s="52">
        <f>K110</f>
        <v>163.18</v>
      </c>
    </row>
    <row r="172" spans="1:13" ht="17.25" customHeight="1" x14ac:dyDescent="0.25">
      <c r="A172" s="54" t="s">
        <v>14</v>
      </c>
      <c r="B172" s="171" t="s">
        <v>139</v>
      </c>
      <c r="C172" s="171"/>
      <c r="D172" s="171"/>
      <c r="E172" s="171"/>
      <c r="F172" s="171"/>
      <c r="G172" s="171"/>
      <c r="H172" s="171"/>
      <c r="I172" s="171"/>
      <c r="J172" s="171"/>
      <c r="K172" s="52">
        <f>K143</f>
        <v>260.18</v>
      </c>
    </row>
    <row r="173" spans="1:13" ht="17.25" customHeight="1" x14ac:dyDescent="0.25">
      <c r="A173" s="54" t="s">
        <v>16</v>
      </c>
      <c r="B173" s="171" t="s">
        <v>140</v>
      </c>
      <c r="C173" s="171"/>
      <c r="D173" s="171"/>
      <c r="E173" s="171"/>
      <c r="F173" s="171"/>
      <c r="G173" s="171"/>
      <c r="H173" s="171"/>
      <c r="I173" s="171"/>
      <c r="J173" s="171"/>
      <c r="K173" s="52">
        <f>K149</f>
        <v>460.55786999999992</v>
      </c>
    </row>
    <row r="174" spans="1:13" ht="17.25" customHeight="1" x14ac:dyDescent="0.25">
      <c r="A174" s="54" t="s">
        <v>18</v>
      </c>
      <c r="B174" s="171" t="s">
        <v>141</v>
      </c>
      <c r="C174" s="171"/>
      <c r="D174" s="171"/>
      <c r="E174" s="171"/>
      <c r="F174" s="171"/>
      <c r="G174" s="171"/>
      <c r="H174" s="171"/>
      <c r="I174" s="171"/>
      <c r="J174" s="171"/>
      <c r="K174" s="52">
        <f>K166</f>
        <v>901.67</v>
      </c>
      <c r="M174" s="133"/>
    </row>
    <row r="175" spans="1:13" ht="18" customHeight="1" x14ac:dyDescent="0.25">
      <c r="A175" s="261" t="s">
        <v>142</v>
      </c>
      <c r="B175" s="261"/>
      <c r="C175" s="261"/>
      <c r="D175" s="261"/>
      <c r="E175" s="261"/>
      <c r="F175" s="261"/>
      <c r="G175" s="261"/>
      <c r="H175" s="261"/>
      <c r="I175" s="261"/>
      <c r="J175" s="261"/>
      <c r="K175" s="32">
        <f>ROUND(SUM(K169:K174),2)</f>
        <v>4852.16</v>
      </c>
    </row>
    <row r="176" spans="1:13" ht="6" customHeight="1" x14ac:dyDescent="0.25">
      <c r="A176" s="262"/>
      <c r="B176" s="262"/>
      <c r="C176" s="262"/>
      <c r="D176" s="262"/>
      <c r="E176" s="262"/>
      <c r="F176" s="262"/>
      <c r="G176" s="262"/>
      <c r="H176" s="262"/>
      <c r="I176" s="262"/>
      <c r="J176" s="262"/>
      <c r="K176" s="262"/>
    </row>
    <row r="177" spans="1:11" ht="6" customHeight="1" x14ac:dyDescent="0.25">
      <c r="A177" s="137"/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</row>
    <row r="178" spans="1:11" ht="6" customHeight="1" x14ac:dyDescent="0.25">
      <c r="A178" s="137"/>
      <c r="B178" s="137"/>
      <c r="C178" s="137"/>
      <c r="D178" s="137"/>
      <c r="E178" s="137"/>
      <c r="F178" s="137"/>
      <c r="G178" s="137"/>
      <c r="H178" s="137"/>
      <c r="I178" s="137"/>
      <c r="J178" s="137"/>
      <c r="K178" s="137"/>
    </row>
    <row r="180" spans="1:11" x14ac:dyDescent="0.25">
      <c r="A180" s="263" t="s">
        <v>178</v>
      </c>
      <c r="B180" s="263"/>
      <c r="C180" s="263"/>
      <c r="D180" s="263"/>
      <c r="E180" s="263"/>
      <c r="F180" s="263"/>
      <c r="G180" s="263"/>
      <c r="H180" s="263"/>
      <c r="I180" s="263"/>
      <c r="J180" s="263"/>
      <c r="K180" s="263"/>
    </row>
  </sheetData>
  <mergeCells count="280">
    <mergeCell ref="A5:C5"/>
    <mergeCell ref="D5:K5"/>
    <mergeCell ref="A6:C6"/>
    <mergeCell ref="D6:K6"/>
    <mergeCell ref="A7:K7"/>
    <mergeCell ref="A8:K8"/>
    <mergeCell ref="A1:K1"/>
    <mergeCell ref="A2:K2"/>
    <mergeCell ref="A3:C3"/>
    <mergeCell ref="D3:K3"/>
    <mergeCell ref="A4:C4"/>
    <mergeCell ref="D4:K4"/>
    <mergeCell ref="B15:J15"/>
    <mergeCell ref="B16:J16"/>
    <mergeCell ref="B17:J17"/>
    <mergeCell ref="B18:J18"/>
    <mergeCell ref="B19:J19"/>
    <mergeCell ref="B20:J20"/>
    <mergeCell ref="A9:K9"/>
    <mergeCell ref="B10:J10"/>
    <mergeCell ref="B11:J11"/>
    <mergeCell ref="B12:J12"/>
    <mergeCell ref="B13:J13"/>
    <mergeCell ref="B14:J14"/>
    <mergeCell ref="M26:T26"/>
    <mergeCell ref="B27:G27"/>
    <mergeCell ref="I27:J27"/>
    <mergeCell ref="B28:G28"/>
    <mergeCell ref="I28:J28"/>
    <mergeCell ref="B29:G29"/>
    <mergeCell ref="I29:J29"/>
    <mergeCell ref="B21:J21"/>
    <mergeCell ref="B22:J22"/>
    <mergeCell ref="A23:K23"/>
    <mergeCell ref="A24:K24"/>
    <mergeCell ref="A25:J25"/>
    <mergeCell ref="B26:G26"/>
    <mergeCell ref="I26:J26"/>
    <mergeCell ref="K31:K33"/>
    <mergeCell ref="M31:T33"/>
    <mergeCell ref="I33:J33"/>
    <mergeCell ref="B34:J34"/>
    <mergeCell ref="A35:J35"/>
    <mergeCell ref="A36:K36"/>
    <mergeCell ref="B30:G30"/>
    <mergeCell ref="I30:J30"/>
    <mergeCell ref="A31:A33"/>
    <mergeCell ref="B31:F33"/>
    <mergeCell ref="G31:G32"/>
    <mergeCell ref="H31:H32"/>
    <mergeCell ref="I31:J32"/>
    <mergeCell ref="M40:T42"/>
    <mergeCell ref="B41:H41"/>
    <mergeCell ref="I41:J41"/>
    <mergeCell ref="B42:H42"/>
    <mergeCell ref="I42:J42"/>
    <mergeCell ref="A43:H43"/>
    <mergeCell ref="I43:J43"/>
    <mergeCell ref="A37:K37"/>
    <mergeCell ref="A38:K38"/>
    <mergeCell ref="A39:H39"/>
    <mergeCell ref="I39:J39"/>
    <mergeCell ref="B40:H40"/>
    <mergeCell ref="I40:J40"/>
    <mergeCell ref="B50:H50"/>
    <mergeCell ref="I50:J50"/>
    <mergeCell ref="B51:H51"/>
    <mergeCell ref="I51:J51"/>
    <mergeCell ref="A52:A53"/>
    <mergeCell ref="B52:F53"/>
    <mergeCell ref="I52:J53"/>
    <mergeCell ref="A44:K44"/>
    <mergeCell ref="A45:K45"/>
    <mergeCell ref="A46:J46"/>
    <mergeCell ref="A47:J47"/>
    <mergeCell ref="A48:J48"/>
    <mergeCell ref="A49:H49"/>
    <mergeCell ref="I49:J49"/>
    <mergeCell ref="M61:T62"/>
    <mergeCell ref="A62:J62"/>
    <mergeCell ref="B56:H56"/>
    <mergeCell ref="I56:J56"/>
    <mergeCell ref="B57:H57"/>
    <mergeCell ref="I57:J57"/>
    <mergeCell ref="B58:H58"/>
    <mergeCell ref="I58:J58"/>
    <mergeCell ref="K52:K53"/>
    <mergeCell ref="M52:T53"/>
    <mergeCell ref="B54:H54"/>
    <mergeCell ref="I54:J54"/>
    <mergeCell ref="B55:H55"/>
    <mergeCell ref="I55:J55"/>
    <mergeCell ref="A63:A65"/>
    <mergeCell ref="B63:F63"/>
    <mergeCell ref="G63:J63"/>
    <mergeCell ref="K63:K65"/>
    <mergeCell ref="B64:D64"/>
    <mergeCell ref="G64:J64"/>
    <mergeCell ref="B65:D65"/>
    <mergeCell ref="G65:J65"/>
    <mergeCell ref="A59:H59"/>
    <mergeCell ref="I59:J59"/>
    <mergeCell ref="A60:K60"/>
    <mergeCell ref="A61:K61"/>
    <mergeCell ref="A69:A71"/>
    <mergeCell ref="B69:F69"/>
    <mergeCell ref="G69:J69"/>
    <mergeCell ref="K69:K71"/>
    <mergeCell ref="B70:F70"/>
    <mergeCell ref="G70:J70"/>
    <mergeCell ref="B71:F71"/>
    <mergeCell ref="G71:J71"/>
    <mergeCell ref="A66:A68"/>
    <mergeCell ref="B66:F66"/>
    <mergeCell ref="G66:J66"/>
    <mergeCell ref="K66:K68"/>
    <mergeCell ref="B67:D67"/>
    <mergeCell ref="E67:F67"/>
    <mergeCell ref="G67:J67"/>
    <mergeCell ref="B68:D68"/>
    <mergeCell ref="E68:F68"/>
    <mergeCell ref="G68:J68"/>
    <mergeCell ref="M75:T77"/>
    <mergeCell ref="B76:E76"/>
    <mergeCell ref="G76:J76"/>
    <mergeCell ref="B77:E77"/>
    <mergeCell ref="G77:J77"/>
    <mergeCell ref="A72:A74"/>
    <mergeCell ref="B72:F72"/>
    <mergeCell ref="G72:J72"/>
    <mergeCell ref="K72:K74"/>
    <mergeCell ref="B73:F73"/>
    <mergeCell ref="G73:J73"/>
    <mergeCell ref="B74:F74"/>
    <mergeCell ref="G74:J74"/>
    <mergeCell ref="A78:A80"/>
    <mergeCell ref="B78:F78"/>
    <mergeCell ref="G78:J78"/>
    <mergeCell ref="K78:K80"/>
    <mergeCell ref="B79:F79"/>
    <mergeCell ref="G79:J79"/>
    <mergeCell ref="B80:F80"/>
    <mergeCell ref="G80:J80"/>
    <mergeCell ref="A75:A77"/>
    <mergeCell ref="B75:F75"/>
    <mergeCell ref="G75:J75"/>
    <mergeCell ref="K75:K77"/>
    <mergeCell ref="M85:T136"/>
    <mergeCell ref="A86:K86"/>
    <mergeCell ref="A87:J87"/>
    <mergeCell ref="A88:J88"/>
    <mergeCell ref="A89:J89"/>
    <mergeCell ref="A90:J90"/>
    <mergeCell ref="A91:J91"/>
    <mergeCell ref="A92:J92"/>
    <mergeCell ref="A93:J93"/>
    <mergeCell ref="A94:J94"/>
    <mergeCell ref="A95:G96"/>
    <mergeCell ref="H95:J95"/>
    <mergeCell ref="H96:J96"/>
    <mergeCell ref="A107:G108"/>
    <mergeCell ref="H107:J107"/>
    <mergeCell ref="H108:J108"/>
    <mergeCell ref="A115:E115"/>
    <mergeCell ref="H115:J115"/>
    <mergeCell ref="A116:E116"/>
    <mergeCell ref="H116:J116"/>
    <mergeCell ref="A117:E117"/>
    <mergeCell ref="H117:J117"/>
    <mergeCell ref="A109:J109"/>
    <mergeCell ref="A110:J110"/>
    <mergeCell ref="B81:J81"/>
    <mergeCell ref="A82:J82"/>
    <mergeCell ref="A83:J83"/>
    <mergeCell ref="A84:K84"/>
    <mergeCell ref="A85:K85"/>
    <mergeCell ref="A103:J103"/>
    <mergeCell ref="A104:K104"/>
    <mergeCell ref="A105:J105"/>
    <mergeCell ref="A106:J106"/>
    <mergeCell ref="A97:J97"/>
    <mergeCell ref="A98:K98"/>
    <mergeCell ref="A99:J99"/>
    <mergeCell ref="A100:J100"/>
    <mergeCell ref="A101:G102"/>
    <mergeCell ref="H101:J101"/>
    <mergeCell ref="H102:J102"/>
    <mergeCell ref="A111:K111"/>
    <mergeCell ref="A112:K112"/>
    <mergeCell ref="A113:K113"/>
    <mergeCell ref="A114:K114"/>
    <mergeCell ref="A121:E121"/>
    <mergeCell ref="H121:J121"/>
    <mergeCell ref="A122:E122"/>
    <mergeCell ref="H122:J122"/>
    <mergeCell ref="A123:E123"/>
    <mergeCell ref="H123:J123"/>
    <mergeCell ref="A118:E118"/>
    <mergeCell ref="H118:J118"/>
    <mergeCell ref="A119:E119"/>
    <mergeCell ref="H119:J119"/>
    <mergeCell ref="A120:E120"/>
    <mergeCell ref="H120:J120"/>
    <mergeCell ref="A127:E127"/>
    <mergeCell ref="H127:J127"/>
    <mergeCell ref="A128:J128"/>
    <mergeCell ref="A129:J129"/>
    <mergeCell ref="A130:J130"/>
    <mergeCell ref="A131:J131"/>
    <mergeCell ref="A124:E124"/>
    <mergeCell ref="H124:J124"/>
    <mergeCell ref="A125:E125"/>
    <mergeCell ref="H125:J125"/>
    <mergeCell ref="A126:E126"/>
    <mergeCell ref="H126:J126"/>
    <mergeCell ref="A138:K138"/>
    <mergeCell ref="A139:J139"/>
    <mergeCell ref="B140:J140"/>
    <mergeCell ref="A141:J141"/>
    <mergeCell ref="A142:K142"/>
    <mergeCell ref="A143:J143"/>
    <mergeCell ref="A132:J132"/>
    <mergeCell ref="A133:J133"/>
    <mergeCell ref="A134:J134"/>
    <mergeCell ref="A135:J135"/>
    <mergeCell ref="A136:J136"/>
    <mergeCell ref="A137:K137"/>
    <mergeCell ref="A150:K150"/>
    <mergeCell ref="A151:J151"/>
    <mergeCell ref="A152:K152"/>
    <mergeCell ref="A153:K153"/>
    <mergeCell ref="A154:K154"/>
    <mergeCell ref="A155:F155"/>
    <mergeCell ref="G155:H155"/>
    <mergeCell ref="I155:J155"/>
    <mergeCell ref="A144:K144"/>
    <mergeCell ref="A145:K145"/>
    <mergeCell ref="B146:J146"/>
    <mergeCell ref="B147:J147"/>
    <mergeCell ref="B148:J148"/>
    <mergeCell ref="A149:J149"/>
    <mergeCell ref="M158:T158"/>
    <mergeCell ref="G159:H159"/>
    <mergeCell ref="M159:T159"/>
    <mergeCell ref="G160:H160"/>
    <mergeCell ref="M160:T160"/>
    <mergeCell ref="B156:F156"/>
    <mergeCell ref="G156:H156"/>
    <mergeCell ref="I156:J156"/>
    <mergeCell ref="M156:T157"/>
    <mergeCell ref="B157:F157"/>
    <mergeCell ref="G157:H157"/>
    <mergeCell ref="I157:J157"/>
    <mergeCell ref="B165:F165"/>
    <mergeCell ref="G165:H165"/>
    <mergeCell ref="I165:J165"/>
    <mergeCell ref="A166:H166"/>
    <mergeCell ref="I166:J166"/>
    <mergeCell ref="A167:K167"/>
    <mergeCell ref="D161:E163"/>
    <mergeCell ref="G161:H162"/>
    <mergeCell ref="K161:K162"/>
    <mergeCell ref="G163:H163"/>
    <mergeCell ref="D164:E164"/>
    <mergeCell ref="G164:H164"/>
    <mergeCell ref="A158:A165"/>
    <mergeCell ref="B158:C164"/>
    <mergeCell ref="D158:E160"/>
    <mergeCell ref="G158:H158"/>
    <mergeCell ref="I158:J164"/>
    <mergeCell ref="B174:J174"/>
    <mergeCell ref="A175:J175"/>
    <mergeCell ref="A176:K176"/>
    <mergeCell ref="A180:K180"/>
    <mergeCell ref="A168:J168"/>
    <mergeCell ref="B169:J169"/>
    <mergeCell ref="B170:J170"/>
    <mergeCell ref="B171:J171"/>
    <mergeCell ref="B172:J172"/>
    <mergeCell ref="B173:J173"/>
  </mergeCells>
  <dataValidations count="1">
    <dataValidation type="custom" allowBlank="1" showInputMessage="1" showErrorMessage="1" sqref="O49">
      <formula1>"0,5 a 1"</formula1>
    </dataValidation>
  </dataValidations>
  <pageMargins left="0.511811024" right="0.511811024" top="0.78740157499999996" bottom="0.78740157499999996" header="0.31496062000000002" footer="0.31496062000000002"/>
  <pageSetup paperSize="9" scale="25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77"/>
  <sheetViews>
    <sheetView showGridLines="0" view="pageBreakPreview" topLeftCell="A34" zoomScaleNormal="115" zoomScaleSheetLayoutView="100" workbookViewId="0">
      <selection activeCell="B11" sqref="B11:J11"/>
    </sheetView>
  </sheetViews>
  <sheetFormatPr defaultColWidth="8.7109375" defaultRowHeight="15" x14ac:dyDescent="0.25"/>
  <cols>
    <col min="1" max="1" width="7.140625" style="126" customWidth="1"/>
    <col min="2" max="2" width="6.7109375" style="126" customWidth="1"/>
    <col min="3" max="3" width="6.28515625" style="126" customWidth="1"/>
    <col min="4" max="4" width="8.7109375" style="126"/>
    <col min="5" max="5" width="11.28515625" style="126" customWidth="1"/>
    <col min="6" max="6" width="19.140625" style="126" customWidth="1"/>
    <col min="7" max="7" width="11.85546875" style="126" customWidth="1"/>
    <col min="8" max="8" width="10.7109375" style="126" customWidth="1"/>
    <col min="9" max="9" width="8.7109375" style="126"/>
    <col min="10" max="10" width="7" style="126" customWidth="1"/>
    <col min="11" max="11" width="37.140625" style="138" customWidth="1"/>
    <col min="12" max="12" width="3.42578125" style="126" customWidth="1"/>
    <col min="13" max="13" width="11.140625" style="127" bestFit="1" customWidth="1"/>
    <col min="14" max="14" width="11.7109375" style="127" bestFit="1" customWidth="1"/>
    <col min="15" max="19" width="8.7109375" style="127"/>
    <col min="20" max="20" width="19.5703125" style="127" customWidth="1"/>
    <col min="21" max="16384" width="8.7109375" style="126"/>
  </cols>
  <sheetData>
    <row r="1" spans="1:12" ht="21.75" customHeight="1" x14ac:dyDescent="0.25">
      <c r="A1" s="166" t="s">
        <v>293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2" ht="6.75" customHeight="1" x14ac:dyDescent="0.2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2" x14ac:dyDescent="0.25">
      <c r="A3" s="161" t="s">
        <v>1</v>
      </c>
      <c r="B3" s="161"/>
      <c r="C3" s="161"/>
      <c r="D3" s="168" t="s">
        <v>2</v>
      </c>
      <c r="E3" s="168"/>
      <c r="F3" s="168"/>
      <c r="G3" s="168"/>
      <c r="H3" s="168"/>
      <c r="I3" s="168"/>
      <c r="J3" s="168"/>
      <c r="K3" s="168"/>
    </row>
    <row r="4" spans="1:12" ht="17.25" customHeight="1" x14ac:dyDescent="0.25">
      <c r="A4" s="161" t="s">
        <v>3</v>
      </c>
      <c r="B4" s="161"/>
      <c r="C4" s="161"/>
      <c r="D4" s="169" t="s">
        <v>324</v>
      </c>
      <c r="E4" s="169"/>
      <c r="F4" s="169"/>
      <c r="G4" s="169"/>
      <c r="H4" s="169"/>
      <c r="I4" s="169"/>
      <c r="J4" s="169"/>
      <c r="K4" s="169"/>
    </row>
    <row r="5" spans="1:12" ht="17.25" customHeight="1" x14ac:dyDescent="0.25">
      <c r="A5" s="161" t="s">
        <v>4</v>
      </c>
      <c r="B5" s="161"/>
      <c r="C5" s="161"/>
      <c r="D5" s="162"/>
      <c r="E5" s="162"/>
      <c r="F5" s="162"/>
      <c r="G5" s="162"/>
      <c r="H5" s="162"/>
      <c r="I5" s="162"/>
      <c r="J5" s="162"/>
      <c r="K5" s="162"/>
    </row>
    <row r="6" spans="1:12" ht="17.25" customHeight="1" x14ac:dyDescent="0.25">
      <c r="A6" s="161" t="s">
        <v>5</v>
      </c>
      <c r="B6" s="161"/>
      <c r="C6" s="161"/>
      <c r="D6" s="163" t="s">
        <v>311</v>
      </c>
      <c r="E6" s="163"/>
      <c r="F6" s="163"/>
      <c r="G6" s="163"/>
      <c r="H6" s="163"/>
      <c r="I6" s="163"/>
      <c r="J6" s="163"/>
      <c r="K6" s="163"/>
    </row>
    <row r="7" spans="1:12" ht="6.75" customHeight="1" x14ac:dyDescent="0.25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</row>
    <row r="8" spans="1:12" ht="6.75" customHeight="1" x14ac:dyDescent="0.25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</row>
    <row r="9" spans="1:12" ht="17.25" customHeight="1" x14ac:dyDescent="0.25">
      <c r="A9" s="172" t="s">
        <v>6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</row>
    <row r="10" spans="1:12" ht="17.25" customHeight="1" x14ac:dyDescent="0.25">
      <c r="A10" s="54" t="s">
        <v>7</v>
      </c>
      <c r="B10" s="171" t="s">
        <v>8</v>
      </c>
      <c r="C10" s="171"/>
      <c r="D10" s="171"/>
      <c r="E10" s="171"/>
      <c r="F10" s="171"/>
      <c r="G10" s="171"/>
      <c r="H10" s="171"/>
      <c r="I10" s="171"/>
      <c r="J10" s="171"/>
      <c r="K10" s="3"/>
    </row>
    <row r="11" spans="1:12" ht="16.5" customHeight="1" x14ac:dyDescent="0.25">
      <c r="A11" s="54" t="s">
        <v>9</v>
      </c>
      <c r="B11" s="171" t="s">
        <v>10</v>
      </c>
      <c r="C11" s="171"/>
      <c r="D11" s="171"/>
      <c r="E11" s="171"/>
      <c r="F11" s="171"/>
      <c r="G11" s="171"/>
      <c r="H11" s="171"/>
      <c r="I11" s="171"/>
      <c r="J11" s="171"/>
      <c r="K11" s="60" t="s">
        <v>312</v>
      </c>
    </row>
    <row r="12" spans="1:12" x14ac:dyDescent="0.25">
      <c r="A12" s="54" t="s">
        <v>11</v>
      </c>
      <c r="B12" s="171" t="s">
        <v>12</v>
      </c>
      <c r="C12" s="171"/>
      <c r="D12" s="171"/>
      <c r="E12" s="171"/>
      <c r="F12" s="171"/>
      <c r="G12" s="171"/>
      <c r="H12" s="171"/>
      <c r="I12" s="171"/>
      <c r="J12" s="171"/>
      <c r="K12" s="6" t="s">
        <v>13</v>
      </c>
    </row>
    <row r="13" spans="1:12" ht="16.5" customHeight="1" x14ac:dyDescent="0.25">
      <c r="A13" s="54" t="s">
        <v>14</v>
      </c>
      <c r="B13" s="170" t="s">
        <v>15</v>
      </c>
      <c r="C13" s="170"/>
      <c r="D13" s="170"/>
      <c r="E13" s="170"/>
      <c r="F13" s="170"/>
      <c r="G13" s="170"/>
      <c r="H13" s="170"/>
      <c r="I13" s="170"/>
      <c r="J13" s="170"/>
      <c r="K13" s="60" t="s">
        <v>207</v>
      </c>
    </row>
    <row r="14" spans="1:12" ht="16.5" customHeight="1" x14ac:dyDescent="0.25">
      <c r="A14" s="54" t="s">
        <v>16</v>
      </c>
      <c r="B14" s="170" t="s">
        <v>17</v>
      </c>
      <c r="C14" s="170"/>
      <c r="D14" s="170"/>
      <c r="E14" s="170"/>
      <c r="F14" s="170"/>
      <c r="G14" s="170"/>
      <c r="H14" s="170"/>
      <c r="I14" s="170"/>
      <c r="J14" s="170"/>
      <c r="K14" s="7" t="s">
        <v>244</v>
      </c>
    </row>
    <row r="15" spans="1:12" ht="16.5" customHeight="1" x14ac:dyDescent="0.25">
      <c r="A15" s="54" t="s">
        <v>18</v>
      </c>
      <c r="B15" s="170" t="s">
        <v>19</v>
      </c>
      <c r="C15" s="170"/>
      <c r="D15" s="170"/>
      <c r="E15" s="170"/>
      <c r="F15" s="170"/>
      <c r="G15" s="170"/>
      <c r="H15" s="170"/>
      <c r="I15" s="170"/>
      <c r="J15" s="170"/>
      <c r="K15" s="60" t="s">
        <v>20</v>
      </c>
    </row>
    <row r="16" spans="1:12" ht="25.5" x14ac:dyDescent="0.25">
      <c r="A16" s="54" t="s">
        <v>21</v>
      </c>
      <c r="B16" s="170" t="s">
        <v>22</v>
      </c>
      <c r="C16" s="170"/>
      <c r="D16" s="170"/>
      <c r="E16" s="170"/>
      <c r="F16" s="170"/>
      <c r="G16" s="170"/>
      <c r="H16" s="170"/>
      <c r="I16" s="170"/>
      <c r="J16" s="170"/>
      <c r="K16" s="8" t="s">
        <v>257</v>
      </c>
      <c r="L16" s="128"/>
    </row>
    <row r="17" spans="1:20" ht="15.75" customHeight="1" x14ac:dyDescent="0.25">
      <c r="A17" s="54" t="s">
        <v>23</v>
      </c>
      <c r="B17" s="170" t="s">
        <v>24</v>
      </c>
      <c r="C17" s="170"/>
      <c r="D17" s="170"/>
      <c r="E17" s="170"/>
      <c r="F17" s="170"/>
      <c r="G17" s="170"/>
      <c r="H17" s="170"/>
      <c r="I17" s="170"/>
      <c r="J17" s="170"/>
      <c r="K17" s="60">
        <v>1320</v>
      </c>
      <c r="L17" s="128"/>
    </row>
    <row r="18" spans="1:20" ht="16.5" customHeight="1" x14ac:dyDescent="0.25">
      <c r="A18" s="54" t="s">
        <v>0</v>
      </c>
      <c r="B18" s="170" t="s">
        <v>292</v>
      </c>
      <c r="C18" s="170"/>
      <c r="D18" s="170"/>
      <c r="E18" s="170"/>
      <c r="F18" s="170"/>
      <c r="G18" s="170"/>
      <c r="H18" s="170"/>
      <c r="I18" s="170"/>
      <c r="J18" s="170"/>
      <c r="K18" s="59">
        <v>1481.56</v>
      </c>
    </row>
    <row r="19" spans="1:20" x14ac:dyDescent="0.25">
      <c r="A19" s="54" t="s">
        <v>25</v>
      </c>
      <c r="B19" s="171" t="s">
        <v>26</v>
      </c>
      <c r="C19" s="171"/>
      <c r="D19" s="171"/>
      <c r="E19" s="171"/>
      <c r="F19" s="171"/>
      <c r="G19" s="171"/>
      <c r="H19" s="171"/>
      <c r="I19" s="171"/>
      <c r="J19" s="171"/>
      <c r="K19" s="1" t="s">
        <v>315</v>
      </c>
    </row>
    <row r="20" spans="1:20" ht="16.5" customHeight="1" x14ac:dyDescent="0.25">
      <c r="A20" s="54" t="s">
        <v>27</v>
      </c>
      <c r="B20" s="171" t="s">
        <v>28</v>
      </c>
      <c r="C20" s="171"/>
      <c r="D20" s="171"/>
      <c r="E20" s="171"/>
      <c r="F20" s="171"/>
      <c r="G20" s="171"/>
      <c r="H20" s="171"/>
      <c r="I20" s="171"/>
      <c r="J20" s="171"/>
      <c r="K20" s="2" t="s">
        <v>291</v>
      </c>
    </row>
    <row r="21" spans="1:20" ht="17.25" customHeight="1" x14ac:dyDescent="0.25">
      <c r="A21" s="54" t="s">
        <v>29</v>
      </c>
      <c r="B21" s="171" t="s">
        <v>30</v>
      </c>
      <c r="C21" s="171"/>
      <c r="D21" s="171"/>
      <c r="E21" s="171"/>
      <c r="F21" s="171"/>
      <c r="G21" s="171"/>
      <c r="H21" s="171"/>
      <c r="I21" s="171"/>
      <c r="J21" s="171"/>
      <c r="K21" s="3" t="s">
        <v>31</v>
      </c>
    </row>
    <row r="22" spans="1:20" ht="17.25" customHeight="1" x14ac:dyDescent="0.25">
      <c r="A22" s="54" t="s">
        <v>32</v>
      </c>
      <c r="B22" s="171" t="s">
        <v>33</v>
      </c>
      <c r="C22" s="171"/>
      <c r="D22" s="171"/>
      <c r="E22" s="171"/>
      <c r="F22" s="171"/>
      <c r="G22" s="171"/>
      <c r="H22" s="171"/>
      <c r="I22" s="171"/>
      <c r="J22" s="171"/>
      <c r="K22" s="9">
        <v>12</v>
      </c>
    </row>
    <row r="23" spans="1:20" ht="6.75" customHeight="1" x14ac:dyDescent="0.25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</row>
    <row r="24" spans="1:20" ht="17.25" customHeight="1" x14ac:dyDescent="0.25">
      <c r="A24" s="172" t="s">
        <v>34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</row>
    <row r="25" spans="1:20" ht="17.25" customHeight="1" x14ac:dyDescent="0.25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53" t="s">
        <v>35</v>
      </c>
    </row>
    <row r="26" spans="1:20" ht="17.25" customHeight="1" x14ac:dyDescent="0.25">
      <c r="A26" s="54" t="s">
        <v>7</v>
      </c>
      <c r="B26" s="170" t="s">
        <v>36</v>
      </c>
      <c r="C26" s="170"/>
      <c r="D26" s="170"/>
      <c r="E26" s="170"/>
      <c r="F26" s="170"/>
      <c r="G26" s="170"/>
      <c r="H26" s="10">
        <v>200</v>
      </c>
      <c r="I26" s="167" t="s">
        <v>37</v>
      </c>
      <c r="J26" s="167"/>
      <c r="K26" s="59">
        <f>K18</f>
        <v>1481.56</v>
      </c>
      <c r="M26" s="173"/>
      <c r="N26" s="173"/>
      <c r="O26" s="173"/>
      <c r="P26" s="173"/>
      <c r="Q26" s="173"/>
      <c r="R26" s="173"/>
      <c r="S26" s="173"/>
      <c r="T26" s="173"/>
    </row>
    <row r="27" spans="1:20" ht="17.25" customHeight="1" x14ac:dyDescent="0.25">
      <c r="A27" s="54" t="s">
        <v>9</v>
      </c>
      <c r="B27" s="170" t="s">
        <v>38</v>
      </c>
      <c r="C27" s="170"/>
      <c r="D27" s="170"/>
      <c r="E27" s="170"/>
      <c r="F27" s="170"/>
      <c r="G27" s="170"/>
      <c r="H27" s="62"/>
      <c r="I27" s="167" t="s">
        <v>39</v>
      </c>
      <c r="J27" s="167"/>
      <c r="K27" s="60">
        <f>H27*K18</f>
        <v>0</v>
      </c>
      <c r="M27" s="11" t="s">
        <v>40</v>
      </c>
      <c r="N27" s="12"/>
      <c r="O27" s="12"/>
      <c r="P27" s="12"/>
      <c r="Q27" s="12"/>
      <c r="R27" s="12"/>
      <c r="S27" s="12"/>
      <c r="T27" s="13"/>
    </row>
    <row r="28" spans="1:20" ht="17.25" customHeight="1" x14ac:dyDescent="0.25">
      <c r="A28" s="54" t="s">
        <v>11</v>
      </c>
      <c r="B28" s="170" t="s">
        <v>41</v>
      </c>
      <c r="C28" s="170"/>
      <c r="D28" s="170"/>
      <c r="E28" s="170"/>
      <c r="F28" s="170"/>
      <c r="G28" s="170"/>
      <c r="H28" s="62"/>
      <c r="I28" s="167" t="s">
        <v>39</v>
      </c>
      <c r="J28" s="167"/>
      <c r="K28" s="60">
        <f>H28*K17</f>
        <v>0</v>
      </c>
      <c r="M28" s="14" t="s">
        <v>40</v>
      </c>
      <c r="N28" s="15"/>
      <c r="O28" s="15"/>
      <c r="P28" s="15"/>
      <c r="Q28" s="15"/>
      <c r="R28" s="15"/>
      <c r="S28" s="15"/>
      <c r="T28" s="16"/>
    </row>
    <row r="29" spans="1:20" ht="17.25" customHeight="1" x14ac:dyDescent="0.25">
      <c r="A29" s="54" t="s">
        <v>14</v>
      </c>
      <c r="B29" s="170" t="s">
        <v>42</v>
      </c>
      <c r="C29" s="170"/>
      <c r="D29" s="170"/>
      <c r="E29" s="170"/>
      <c r="F29" s="170"/>
      <c r="G29" s="170"/>
      <c r="H29" s="62"/>
      <c r="I29" s="167" t="s">
        <v>39</v>
      </c>
      <c r="J29" s="167"/>
      <c r="K29" s="60">
        <f>H29*K26</f>
        <v>0</v>
      </c>
    </row>
    <row r="30" spans="1:20" ht="17.25" customHeight="1" x14ac:dyDescent="0.25">
      <c r="A30" s="54" t="s">
        <v>43</v>
      </c>
      <c r="B30" s="170" t="s">
        <v>44</v>
      </c>
      <c r="C30" s="170"/>
      <c r="D30" s="170"/>
      <c r="E30" s="170"/>
      <c r="F30" s="170"/>
      <c r="G30" s="170"/>
      <c r="H30" s="62"/>
      <c r="I30" s="167" t="s">
        <v>39</v>
      </c>
      <c r="J30" s="167"/>
      <c r="K30" s="60">
        <f>H30*K26</f>
        <v>0</v>
      </c>
    </row>
    <row r="31" spans="1:20" ht="17.25" customHeight="1" x14ac:dyDescent="0.25">
      <c r="A31" s="167" t="s">
        <v>18</v>
      </c>
      <c r="B31" s="170" t="s">
        <v>45</v>
      </c>
      <c r="C31" s="170"/>
      <c r="D31" s="170"/>
      <c r="E31" s="170"/>
      <c r="F31" s="170"/>
      <c r="G31" s="186" t="s">
        <v>46</v>
      </c>
      <c r="H31" s="186" t="s">
        <v>47</v>
      </c>
      <c r="I31" s="186" t="s">
        <v>48</v>
      </c>
      <c r="J31" s="186"/>
      <c r="K31" s="174">
        <f>ROUND(I33*H33,2)</f>
        <v>0</v>
      </c>
      <c r="M31" s="175" t="s">
        <v>144</v>
      </c>
      <c r="N31" s="176"/>
      <c r="O31" s="176"/>
      <c r="P31" s="176"/>
      <c r="Q31" s="176"/>
      <c r="R31" s="176"/>
      <c r="S31" s="176"/>
      <c r="T31" s="177"/>
    </row>
    <row r="32" spans="1:20" ht="22.5" customHeight="1" x14ac:dyDescent="0.25">
      <c r="A32" s="167"/>
      <c r="B32" s="170"/>
      <c r="C32" s="170"/>
      <c r="D32" s="170"/>
      <c r="E32" s="170"/>
      <c r="F32" s="170"/>
      <c r="G32" s="186"/>
      <c r="H32" s="186"/>
      <c r="I32" s="186"/>
      <c r="J32" s="186"/>
      <c r="K32" s="174"/>
      <c r="M32" s="178"/>
      <c r="N32" s="179"/>
      <c r="O32" s="179"/>
      <c r="P32" s="179"/>
      <c r="Q32" s="179"/>
      <c r="R32" s="179"/>
      <c r="S32" s="179"/>
      <c r="T32" s="180"/>
    </row>
    <row r="33" spans="1:20" ht="17.25" customHeight="1" x14ac:dyDescent="0.25">
      <c r="A33" s="167"/>
      <c r="B33" s="170"/>
      <c r="C33" s="170"/>
      <c r="D33" s="170"/>
      <c r="E33" s="170"/>
      <c r="F33" s="170"/>
      <c r="G33" s="62"/>
      <c r="H33" s="10"/>
      <c r="I33" s="184">
        <f>(K26/H26)*(1+G33)</f>
        <v>7.4077999999999999</v>
      </c>
      <c r="J33" s="184"/>
      <c r="K33" s="174"/>
      <c r="M33" s="181"/>
      <c r="N33" s="182"/>
      <c r="O33" s="182"/>
      <c r="P33" s="182"/>
      <c r="Q33" s="182"/>
      <c r="R33" s="182"/>
      <c r="S33" s="182"/>
      <c r="T33" s="183"/>
    </row>
    <row r="34" spans="1:20" ht="17.25" customHeight="1" x14ac:dyDescent="0.25">
      <c r="A34" s="54" t="s">
        <v>21</v>
      </c>
      <c r="B34" s="185" t="s">
        <v>49</v>
      </c>
      <c r="C34" s="185"/>
      <c r="D34" s="185"/>
      <c r="E34" s="185"/>
      <c r="F34" s="185"/>
      <c r="G34" s="185"/>
      <c r="H34" s="185"/>
      <c r="I34" s="185"/>
      <c r="J34" s="185"/>
      <c r="K34" s="59"/>
    </row>
    <row r="35" spans="1:20" ht="17.25" customHeight="1" x14ac:dyDescent="0.25">
      <c r="A35" s="172" t="s">
        <v>50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">
        <f>ROUND(SUM(K26:K34),2)</f>
        <v>1481.56</v>
      </c>
    </row>
    <row r="36" spans="1:20" ht="6.75" customHeight="1" x14ac:dyDescent="0.25">
      <c r="A36" s="165"/>
      <c r="B36" s="165"/>
      <c r="C36" s="165"/>
      <c r="D36" s="165"/>
      <c r="E36" s="165"/>
      <c r="F36" s="165"/>
      <c r="G36" s="165"/>
      <c r="H36" s="165"/>
      <c r="I36" s="165"/>
      <c r="J36" s="165"/>
      <c r="K36" s="165"/>
    </row>
    <row r="37" spans="1:20" ht="17.25" customHeight="1" x14ac:dyDescent="0.25">
      <c r="A37" s="172" t="s">
        <v>51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</row>
    <row r="38" spans="1:20" ht="17.25" customHeight="1" x14ac:dyDescent="0.25">
      <c r="A38" s="189" t="s">
        <v>52</v>
      </c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M38" s="129"/>
    </row>
    <row r="39" spans="1:20" s="130" customFormat="1" ht="17.25" customHeight="1" x14ac:dyDescent="0.25">
      <c r="A39" s="191"/>
      <c r="B39" s="191"/>
      <c r="C39" s="191"/>
      <c r="D39" s="191"/>
      <c r="E39" s="191"/>
      <c r="F39" s="191"/>
      <c r="G39" s="191"/>
      <c r="H39" s="191"/>
      <c r="I39" s="172" t="s">
        <v>53</v>
      </c>
      <c r="J39" s="172"/>
      <c r="K39" s="53" t="s">
        <v>35</v>
      </c>
      <c r="M39" s="127"/>
      <c r="N39" s="127"/>
      <c r="O39" s="127"/>
      <c r="P39" s="127"/>
      <c r="Q39" s="127"/>
      <c r="R39" s="127"/>
      <c r="S39" s="127"/>
      <c r="T39" s="127"/>
    </row>
    <row r="40" spans="1:20" ht="17.25" customHeight="1" x14ac:dyDescent="0.25">
      <c r="A40" s="54" t="s">
        <v>7</v>
      </c>
      <c r="B40" s="171" t="s">
        <v>54</v>
      </c>
      <c r="C40" s="171"/>
      <c r="D40" s="171"/>
      <c r="E40" s="171"/>
      <c r="F40" s="171"/>
      <c r="G40" s="171"/>
      <c r="H40" s="171"/>
      <c r="I40" s="187">
        <f>ROUND(1/12,4)</f>
        <v>8.3299999999999999E-2</v>
      </c>
      <c r="J40" s="187"/>
      <c r="K40" s="52">
        <f>ROUND(I40*$K$35,2)</f>
        <v>123.41</v>
      </c>
      <c r="M40" s="175" t="s">
        <v>55</v>
      </c>
      <c r="N40" s="176"/>
      <c r="O40" s="176"/>
      <c r="P40" s="176"/>
      <c r="Q40" s="176"/>
      <c r="R40" s="176"/>
      <c r="S40" s="176"/>
      <c r="T40" s="177"/>
    </row>
    <row r="41" spans="1:20" ht="17.25" customHeight="1" x14ac:dyDescent="0.25">
      <c r="A41" s="54" t="s">
        <v>9</v>
      </c>
      <c r="B41" s="170" t="s">
        <v>56</v>
      </c>
      <c r="C41" s="170"/>
      <c r="D41" s="170"/>
      <c r="E41" s="170"/>
      <c r="F41" s="170"/>
      <c r="G41" s="170"/>
      <c r="H41" s="170"/>
      <c r="I41" s="187">
        <f>ROUND(1/3/12,4)</f>
        <v>2.7799999999999998E-2</v>
      </c>
      <c r="J41" s="187"/>
      <c r="K41" s="52">
        <f>ROUND(I41*$K$35,2)</f>
        <v>41.19</v>
      </c>
      <c r="M41" s="178"/>
      <c r="N41" s="179"/>
      <c r="O41" s="179"/>
      <c r="P41" s="179"/>
      <c r="Q41" s="179"/>
      <c r="R41" s="179"/>
      <c r="S41" s="179"/>
      <c r="T41" s="180"/>
    </row>
    <row r="42" spans="1:20" ht="17.25" customHeight="1" x14ac:dyDescent="0.25">
      <c r="A42" s="18" t="s">
        <v>11</v>
      </c>
      <c r="B42" s="188" t="s">
        <v>57</v>
      </c>
      <c r="C42" s="188"/>
      <c r="D42" s="188"/>
      <c r="E42" s="188"/>
      <c r="F42" s="188"/>
      <c r="G42" s="188"/>
      <c r="H42" s="188"/>
      <c r="I42" s="187">
        <f>ROUND(1/12,4)</f>
        <v>8.3299999999999999E-2</v>
      </c>
      <c r="J42" s="187"/>
      <c r="K42" s="52">
        <f>ROUND(I42*$K$35,2)</f>
        <v>123.41</v>
      </c>
      <c r="M42" s="181"/>
      <c r="N42" s="182"/>
      <c r="O42" s="182"/>
      <c r="P42" s="182"/>
      <c r="Q42" s="182"/>
      <c r="R42" s="182"/>
      <c r="S42" s="182"/>
      <c r="T42" s="183"/>
    </row>
    <row r="43" spans="1:20" ht="17.25" customHeight="1" x14ac:dyDescent="0.25">
      <c r="A43" s="189" t="s">
        <v>58</v>
      </c>
      <c r="B43" s="189"/>
      <c r="C43" s="189"/>
      <c r="D43" s="189"/>
      <c r="E43" s="189"/>
      <c r="F43" s="189"/>
      <c r="G43" s="189"/>
      <c r="H43" s="189"/>
      <c r="I43" s="190">
        <f>SUM(I40:J42)</f>
        <v>0.19440000000000002</v>
      </c>
      <c r="J43" s="190"/>
      <c r="K43" s="19">
        <f>ROUND(SUM(K40:K42),2)</f>
        <v>288.01</v>
      </c>
    </row>
    <row r="44" spans="1:20" ht="6.75" customHeight="1" x14ac:dyDescent="0.25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</row>
    <row r="45" spans="1:20" ht="17.25" customHeight="1" x14ac:dyDescent="0.25">
      <c r="A45" s="189" t="s">
        <v>59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20" ht="17.25" customHeight="1" x14ac:dyDescent="0.25">
      <c r="A46" s="193" t="s">
        <v>60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">
        <f>K35</f>
        <v>1481.56</v>
      </c>
    </row>
    <row r="47" spans="1:20" ht="17.25" customHeight="1" x14ac:dyDescent="0.25">
      <c r="A47" s="194" t="s">
        <v>61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">
        <f>K43</f>
        <v>288.01</v>
      </c>
    </row>
    <row r="48" spans="1:20" ht="17.25" customHeight="1" x14ac:dyDescent="0.25">
      <c r="A48" s="194" t="s">
        <v>62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">
        <f>SUM(K46:K47)</f>
        <v>1769.57</v>
      </c>
    </row>
    <row r="49" spans="1:20" s="130" customFormat="1" ht="17.25" customHeight="1" x14ac:dyDescent="0.25">
      <c r="A49" s="191"/>
      <c r="B49" s="191"/>
      <c r="C49" s="191"/>
      <c r="D49" s="191"/>
      <c r="E49" s="191"/>
      <c r="F49" s="191"/>
      <c r="G49" s="191"/>
      <c r="H49" s="191"/>
      <c r="I49" s="172" t="s">
        <v>53</v>
      </c>
      <c r="J49" s="172"/>
      <c r="K49" s="53" t="s">
        <v>35</v>
      </c>
      <c r="M49" s="131"/>
      <c r="N49" s="131"/>
      <c r="O49" s="131"/>
      <c r="P49" s="131"/>
      <c r="Q49" s="131"/>
      <c r="R49" s="131"/>
      <c r="S49" s="127"/>
      <c r="T49" s="127"/>
    </row>
    <row r="50" spans="1:20" ht="17.25" customHeight="1" x14ac:dyDescent="0.25">
      <c r="A50" s="54" t="s">
        <v>7</v>
      </c>
      <c r="B50" s="171" t="s">
        <v>63</v>
      </c>
      <c r="C50" s="171"/>
      <c r="D50" s="171"/>
      <c r="E50" s="171"/>
      <c r="F50" s="171"/>
      <c r="G50" s="171"/>
      <c r="H50" s="171"/>
      <c r="I50" s="192">
        <v>0.2</v>
      </c>
      <c r="J50" s="192"/>
      <c r="K50" s="52">
        <f>ROUND(I50*$K$48,2)</f>
        <v>353.91</v>
      </c>
    </row>
    <row r="51" spans="1:20" ht="17.25" customHeight="1" x14ac:dyDescent="0.25">
      <c r="A51" s="54" t="s">
        <v>9</v>
      </c>
      <c r="B51" s="171" t="s">
        <v>64</v>
      </c>
      <c r="C51" s="171"/>
      <c r="D51" s="171"/>
      <c r="E51" s="171"/>
      <c r="F51" s="171"/>
      <c r="G51" s="171"/>
      <c r="H51" s="171"/>
      <c r="I51" s="192">
        <v>2.5000000000000001E-2</v>
      </c>
      <c r="J51" s="192"/>
      <c r="K51" s="52">
        <f t="shared" ref="K51:K57" si="0">ROUND(I51*$K$48,2)</f>
        <v>44.24</v>
      </c>
    </row>
    <row r="52" spans="1:20" ht="17.25" customHeight="1" x14ac:dyDescent="0.25">
      <c r="A52" s="167" t="s">
        <v>11</v>
      </c>
      <c r="B52" s="170" t="s">
        <v>65</v>
      </c>
      <c r="C52" s="170"/>
      <c r="D52" s="170"/>
      <c r="E52" s="170"/>
      <c r="F52" s="170"/>
      <c r="G52" s="20" t="s">
        <v>66</v>
      </c>
      <c r="H52" s="20" t="s">
        <v>67</v>
      </c>
      <c r="I52" s="187">
        <f>(G53*H53)*100</f>
        <v>0.03</v>
      </c>
      <c r="J52" s="187"/>
      <c r="K52" s="202">
        <f t="shared" si="0"/>
        <v>53.09</v>
      </c>
      <c r="M52" s="203" t="s">
        <v>68</v>
      </c>
      <c r="N52" s="204"/>
      <c r="O52" s="204"/>
      <c r="P52" s="204"/>
      <c r="Q52" s="204"/>
      <c r="R52" s="204"/>
      <c r="S52" s="204"/>
      <c r="T52" s="205"/>
    </row>
    <row r="53" spans="1:20" ht="17.25" customHeight="1" x14ac:dyDescent="0.25">
      <c r="A53" s="167"/>
      <c r="B53" s="170"/>
      <c r="C53" s="170"/>
      <c r="D53" s="170"/>
      <c r="E53" s="170"/>
      <c r="F53" s="170"/>
      <c r="G53" s="57">
        <v>0.03</v>
      </c>
      <c r="H53" s="57">
        <v>0.01</v>
      </c>
      <c r="I53" s="187"/>
      <c r="J53" s="187"/>
      <c r="K53" s="202"/>
      <c r="M53" s="206"/>
      <c r="N53" s="207"/>
      <c r="O53" s="207"/>
      <c r="P53" s="207"/>
      <c r="Q53" s="207"/>
      <c r="R53" s="207"/>
      <c r="S53" s="207"/>
      <c r="T53" s="208"/>
    </row>
    <row r="54" spans="1:20" ht="17.25" customHeight="1" x14ac:dyDescent="0.25">
      <c r="A54" s="54" t="s">
        <v>14</v>
      </c>
      <c r="B54" s="171" t="s">
        <v>69</v>
      </c>
      <c r="C54" s="171"/>
      <c r="D54" s="171"/>
      <c r="E54" s="171"/>
      <c r="F54" s="171"/>
      <c r="G54" s="171"/>
      <c r="H54" s="171"/>
      <c r="I54" s="192">
        <v>1.4999999999999999E-2</v>
      </c>
      <c r="J54" s="192"/>
      <c r="K54" s="52">
        <f t="shared" si="0"/>
        <v>26.54</v>
      </c>
    </row>
    <row r="55" spans="1:20" ht="17.25" customHeight="1" x14ac:dyDescent="0.25">
      <c r="A55" s="54" t="s">
        <v>16</v>
      </c>
      <c r="B55" s="171" t="s">
        <v>70</v>
      </c>
      <c r="C55" s="171"/>
      <c r="D55" s="171"/>
      <c r="E55" s="171"/>
      <c r="F55" s="171"/>
      <c r="G55" s="171"/>
      <c r="H55" s="171"/>
      <c r="I55" s="192">
        <v>0.01</v>
      </c>
      <c r="J55" s="192"/>
      <c r="K55" s="52">
        <f t="shared" si="0"/>
        <v>17.7</v>
      </c>
    </row>
    <row r="56" spans="1:20" ht="17.25" customHeight="1" x14ac:dyDescent="0.25">
      <c r="A56" s="54" t="s">
        <v>18</v>
      </c>
      <c r="B56" s="171" t="s">
        <v>71</v>
      </c>
      <c r="C56" s="171"/>
      <c r="D56" s="171"/>
      <c r="E56" s="171"/>
      <c r="F56" s="171"/>
      <c r="G56" s="171"/>
      <c r="H56" s="171"/>
      <c r="I56" s="192">
        <v>6.0000000000000001E-3</v>
      </c>
      <c r="J56" s="192"/>
      <c r="K56" s="52">
        <f t="shared" si="0"/>
        <v>10.62</v>
      </c>
    </row>
    <row r="57" spans="1:20" ht="17.25" customHeight="1" x14ac:dyDescent="0.25">
      <c r="A57" s="54" t="s">
        <v>21</v>
      </c>
      <c r="B57" s="171" t="s">
        <v>72</v>
      </c>
      <c r="C57" s="171"/>
      <c r="D57" s="171"/>
      <c r="E57" s="171"/>
      <c r="F57" s="171"/>
      <c r="G57" s="171"/>
      <c r="H57" s="171"/>
      <c r="I57" s="192">
        <v>2E-3</v>
      </c>
      <c r="J57" s="192"/>
      <c r="K57" s="52">
        <f t="shared" si="0"/>
        <v>3.54</v>
      </c>
    </row>
    <row r="58" spans="1:20" ht="17.25" customHeight="1" x14ac:dyDescent="0.25">
      <c r="A58" s="54" t="s">
        <v>23</v>
      </c>
      <c r="B58" s="171" t="s">
        <v>73</v>
      </c>
      <c r="C58" s="171"/>
      <c r="D58" s="171"/>
      <c r="E58" s="171"/>
      <c r="F58" s="171"/>
      <c r="G58" s="171"/>
      <c r="H58" s="171"/>
      <c r="I58" s="192">
        <v>0.08</v>
      </c>
      <c r="J58" s="192"/>
      <c r="K58" s="52">
        <f>ROUND(I58*$K$48,2)</f>
        <v>141.57</v>
      </c>
    </row>
    <row r="59" spans="1:20" ht="17.25" customHeight="1" x14ac:dyDescent="0.25">
      <c r="A59" s="189" t="s">
        <v>74</v>
      </c>
      <c r="B59" s="189"/>
      <c r="C59" s="189"/>
      <c r="D59" s="189"/>
      <c r="E59" s="189"/>
      <c r="F59" s="189"/>
      <c r="G59" s="189"/>
      <c r="H59" s="189"/>
      <c r="I59" s="190">
        <f>SUM(I50:J58)</f>
        <v>0.36800000000000005</v>
      </c>
      <c r="J59" s="190"/>
      <c r="K59" s="19">
        <f>ROUND(SUM(K50:K58),2)</f>
        <v>651.21</v>
      </c>
    </row>
    <row r="60" spans="1:20" ht="5.25" customHeight="1" x14ac:dyDescent="0.25">
      <c r="A60" s="212"/>
      <c r="B60" s="212"/>
      <c r="C60" s="212"/>
      <c r="D60" s="212"/>
      <c r="E60" s="212"/>
      <c r="F60" s="212"/>
      <c r="G60" s="212"/>
      <c r="H60" s="212"/>
      <c r="I60" s="212"/>
      <c r="J60" s="212"/>
      <c r="K60" s="212"/>
    </row>
    <row r="61" spans="1:20" ht="17.25" customHeight="1" x14ac:dyDescent="0.25">
      <c r="A61" s="189" t="s">
        <v>75</v>
      </c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M61" s="195" t="s">
        <v>76</v>
      </c>
      <c r="N61" s="196"/>
      <c r="O61" s="196"/>
      <c r="P61" s="196"/>
      <c r="Q61" s="196"/>
      <c r="R61" s="196"/>
      <c r="S61" s="196"/>
      <c r="T61" s="197"/>
    </row>
    <row r="62" spans="1:20" ht="17.25" customHeight="1" x14ac:dyDescent="0.25">
      <c r="A62" s="201"/>
      <c r="B62" s="201"/>
      <c r="C62" s="201"/>
      <c r="D62" s="201"/>
      <c r="E62" s="201"/>
      <c r="F62" s="201"/>
      <c r="G62" s="201"/>
      <c r="H62" s="201"/>
      <c r="I62" s="201"/>
      <c r="J62" s="201"/>
      <c r="K62" s="53" t="s">
        <v>35</v>
      </c>
      <c r="M62" s="198"/>
      <c r="N62" s="199"/>
      <c r="O62" s="199"/>
      <c r="P62" s="199"/>
      <c r="Q62" s="199"/>
      <c r="R62" s="199"/>
      <c r="S62" s="199"/>
      <c r="T62" s="200"/>
    </row>
    <row r="63" spans="1:20" ht="17.25" customHeight="1" x14ac:dyDescent="0.25">
      <c r="A63" s="167" t="s">
        <v>7</v>
      </c>
      <c r="B63" s="209" t="s">
        <v>77</v>
      </c>
      <c r="C63" s="209"/>
      <c r="D63" s="209"/>
      <c r="E63" s="209"/>
      <c r="F63" s="209"/>
      <c r="G63" s="210"/>
      <c r="H63" s="210"/>
      <c r="I63" s="210"/>
      <c r="J63" s="210"/>
      <c r="K63" s="202">
        <f>ROUND((B65*E65*F65)-G65,2)</f>
        <v>122.31</v>
      </c>
    </row>
    <row r="64" spans="1:20" ht="17.25" customHeight="1" x14ac:dyDescent="0.25">
      <c r="A64" s="167"/>
      <c r="B64" s="164" t="s">
        <v>78</v>
      </c>
      <c r="C64" s="164"/>
      <c r="D64" s="164"/>
      <c r="E64" s="54" t="s">
        <v>79</v>
      </c>
      <c r="F64" s="61" t="s">
        <v>80</v>
      </c>
      <c r="G64" s="164" t="s">
        <v>81</v>
      </c>
      <c r="H64" s="164"/>
      <c r="I64" s="164"/>
      <c r="J64" s="164"/>
      <c r="K64" s="202"/>
    </row>
    <row r="65" spans="1:20" ht="17.25" customHeight="1" x14ac:dyDescent="0.25">
      <c r="A65" s="167"/>
      <c r="B65" s="211">
        <v>2</v>
      </c>
      <c r="C65" s="211"/>
      <c r="D65" s="211"/>
      <c r="E65" s="4">
        <v>22</v>
      </c>
      <c r="F65" s="59">
        <v>4.8</v>
      </c>
      <c r="G65" s="202">
        <f>0.06*K26</f>
        <v>88.893599999999992</v>
      </c>
      <c r="H65" s="202"/>
      <c r="I65" s="202"/>
      <c r="J65" s="202"/>
      <c r="K65" s="202"/>
    </row>
    <row r="66" spans="1:20" ht="17.25" customHeight="1" x14ac:dyDescent="0.25">
      <c r="A66" s="213" t="s">
        <v>9</v>
      </c>
      <c r="B66" s="214" t="s">
        <v>243</v>
      </c>
      <c r="C66" s="214"/>
      <c r="D66" s="214"/>
      <c r="E66" s="214"/>
      <c r="F66" s="214"/>
      <c r="G66" s="215"/>
      <c r="H66" s="215"/>
      <c r="I66" s="215"/>
      <c r="J66" s="215"/>
      <c r="K66" s="216">
        <f>(B68-G68)*E68</f>
        <v>390.28000000000003</v>
      </c>
    </row>
    <row r="67" spans="1:20" ht="17.25" customHeight="1" x14ac:dyDescent="0.25">
      <c r="A67" s="213"/>
      <c r="B67" s="164" t="s">
        <v>89</v>
      </c>
      <c r="C67" s="164"/>
      <c r="D67" s="164"/>
      <c r="E67" s="219" t="s">
        <v>79</v>
      </c>
      <c r="F67" s="220"/>
      <c r="G67" s="164" t="s">
        <v>81</v>
      </c>
      <c r="H67" s="164"/>
      <c r="I67" s="164"/>
      <c r="J67" s="164"/>
      <c r="K67" s="217"/>
    </row>
    <row r="68" spans="1:20" ht="17.25" customHeight="1" x14ac:dyDescent="0.25">
      <c r="A68" s="213"/>
      <c r="B68" s="221">
        <v>19.010000000000002</v>
      </c>
      <c r="C68" s="221"/>
      <c r="D68" s="221"/>
      <c r="E68" s="222">
        <f>E65</f>
        <v>22</v>
      </c>
      <c r="F68" s="223"/>
      <c r="G68" s="202">
        <v>1.27</v>
      </c>
      <c r="H68" s="202"/>
      <c r="I68" s="202"/>
      <c r="J68" s="202"/>
      <c r="K68" s="218"/>
    </row>
    <row r="69" spans="1:20" ht="17.25" customHeight="1" x14ac:dyDescent="0.25">
      <c r="A69" s="213" t="s">
        <v>11</v>
      </c>
      <c r="B69" s="214" t="s">
        <v>83</v>
      </c>
      <c r="C69" s="214"/>
      <c r="D69" s="214"/>
      <c r="E69" s="214"/>
      <c r="F69" s="214"/>
      <c r="G69" s="215"/>
      <c r="H69" s="215"/>
      <c r="I69" s="215"/>
      <c r="J69" s="215"/>
      <c r="K69" s="227">
        <f>B71-G71</f>
        <v>132.49</v>
      </c>
      <c r="M69" s="21"/>
      <c r="N69" s="21"/>
      <c r="O69" s="21"/>
      <c r="P69" s="21"/>
      <c r="Q69" s="21"/>
      <c r="R69" s="21"/>
      <c r="S69" s="21"/>
      <c r="T69" s="21"/>
    </row>
    <row r="70" spans="1:20" ht="17.25" customHeight="1" x14ac:dyDescent="0.25">
      <c r="A70" s="213"/>
      <c r="B70" s="213" t="s">
        <v>82</v>
      </c>
      <c r="C70" s="213"/>
      <c r="D70" s="213"/>
      <c r="E70" s="213"/>
      <c r="F70" s="213"/>
      <c r="G70" s="213" t="s">
        <v>84</v>
      </c>
      <c r="H70" s="213"/>
      <c r="I70" s="213"/>
      <c r="J70" s="213"/>
      <c r="K70" s="228"/>
      <c r="M70" s="21"/>
      <c r="N70" s="21"/>
      <c r="O70" s="21"/>
      <c r="P70" s="21"/>
      <c r="Q70" s="21"/>
      <c r="R70" s="21"/>
      <c r="S70" s="21"/>
      <c r="T70" s="21"/>
    </row>
    <row r="71" spans="1:20" ht="17.25" customHeight="1" x14ac:dyDescent="0.25">
      <c r="A71" s="213"/>
      <c r="B71" s="230">
        <v>132.49</v>
      </c>
      <c r="C71" s="230"/>
      <c r="D71" s="230"/>
      <c r="E71" s="230"/>
      <c r="F71" s="230"/>
      <c r="G71" s="231">
        <v>0</v>
      </c>
      <c r="H71" s="231"/>
      <c r="I71" s="231"/>
      <c r="J71" s="231"/>
      <c r="K71" s="229"/>
      <c r="M71" s="21"/>
      <c r="N71" s="21"/>
      <c r="O71" s="21"/>
      <c r="P71" s="21"/>
      <c r="Q71" s="21"/>
      <c r="R71" s="21"/>
      <c r="S71" s="21"/>
      <c r="T71" s="21"/>
    </row>
    <row r="72" spans="1:20" ht="17.25" customHeight="1" x14ac:dyDescent="0.25">
      <c r="A72" s="213" t="s">
        <v>14</v>
      </c>
      <c r="B72" s="214" t="s">
        <v>85</v>
      </c>
      <c r="C72" s="214"/>
      <c r="D72" s="214"/>
      <c r="E72" s="214"/>
      <c r="F72" s="214"/>
      <c r="G72" s="215"/>
      <c r="H72" s="215"/>
      <c r="I72" s="215"/>
      <c r="J72" s="215"/>
      <c r="K72" s="224">
        <f>B74-G74</f>
        <v>32.049999999999997</v>
      </c>
      <c r="M72" s="21"/>
      <c r="N72" s="21"/>
      <c r="O72" s="21"/>
      <c r="P72" s="21"/>
      <c r="Q72" s="21"/>
      <c r="R72" s="21"/>
      <c r="S72" s="21"/>
      <c r="T72" s="21"/>
    </row>
    <row r="73" spans="1:20" ht="17.25" customHeight="1" x14ac:dyDescent="0.25">
      <c r="A73" s="213"/>
      <c r="B73" s="213" t="s">
        <v>86</v>
      </c>
      <c r="C73" s="213"/>
      <c r="D73" s="213"/>
      <c r="E73" s="213"/>
      <c r="F73" s="213"/>
      <c r="G73" s="213" t="s">
        <v>84</v>
      </c>
      <c r="H73" s="213"/>
      <c r="I73" s="213"/>
      <c r="J73" s="213"/>
      <c r="K73" s="224"/>
      <c r="M73" s="21"/>
      <c r="N73" s="21"/>
      <c r="O73" s="21"/>
      <c r="P73" s="21"/>
      <c r="Q73" s="21"/>
      <c r="R73" s="21"/>
      <c r="S73" s="21"/>
      <c r="T73" s="21"/>
    </row>
    <row r="74" spans="1:20" ht="17.25" customHeight="1" x14ac:dyDescent="0.25">
      <c r="A74" s="213"/>
      <c r="B74" s="225">
        <v>32.049999999999997</v>
      </c>
      <c r="C74" s="225"/>
      <c r="D74" s="225"/>
      <c r="E74" s="225"/>
      <c r="F74" s="225"/>
      <c r="G74" s="226">
        <v>0</v>
      </c>
      <c r="H74" s="226"/>
      <c r="I74" s="226"/>
      <c r="J74" s="226"/>
      <c r="K74" s="224"/>
      <c r="M74" s="21"/>
      <c r="N74" s="21"/>
      <c r="O74" s="21"/>
      <c r="P74" s="21"/>
      <c r="Q74" s="21"/>
      <c r="R74" s="21"/>
      <c r="S74" s="21"/>
      <c r="T74" s="21"/>
    </row>
    <row r="75" spans="1:20" ht="17.25" customHeight="1" x14ac:dyDescent="0.25">
      <c r="A75" s="213" t="s">
        <v>18</v>
      </c>
      <c r="B75" s="214" t="s">
        <v>295</v>
      </c>
      <c r="C75" s="214"/>
      <c r="D75" s="214"/>
      <c r="E75" s="214"/>
      <c r="F75" s="214"/>
      <c r="G75" s="215"/>
      <c r="H75" s="215"/>
      <c r="I75" s="215"/>
      <c r="J75" s="215"/>
      <c r="K75" s="224">
        <f>B77-G77</f>
        <v>14.62</v>
      </c>
      <c r="M75" s="21"/>
      <c r="N75" s="21"/>
      <c r="O75" s="21"/>
      <c r="P75" s="21"/>
      <c r="Q75" s="21"/>
      <c r="R75" s="21"/>
      <c r="S75" s="21"/>
      <c r="T75" s="21"/>
    </row>
    <row r="76" spans="1:20" ht="17.25" customHeight="1" x14ac:dyDescent="0.25">
      <c r="A76" s="213"/>
      <c r="B76" s="213" t="s">
        <v>86</v>
      </c>
      <c r="C76" s="213"/>
      <c r="D76" s="213"/>
      <c r="E76" s="213"/>
      <c r="F76" s="213"/>
      <c r="G76" s="213" t="s">
        <v>84</v>
      </c>
      <c r="H76" s="213"/>
      <c r="I76" s="213"/>
      <c r="J76" s="213"/>
      <c r="K76" s="224"/>
      <c r="M76" s="21"/>
      <c r="N76" s="21"/>
      <c r="O76" s="21"/>
      <c r="P76" s="21"/>
      <c r="Q76" s="21"/>
      <c r="R76" s="21"/>
      <c r="S76" s="21"/>
      <c r="T76" s="21"/>
    </row>
    <row r="77" spans="1:20" ht="17.25" customHeight="1" x14ac:dyDescent="0.25">
      <c r="A77" s="213"/>
      <c r="B77" s="225">
        <v>14.62</v>
      </c>
      <c r="C77" s="225"/>
      <c r="D77" s="225"/>
      <c r="E77" s="225"/>
      <c r="F77" s="225"/>
      <c r="G77" s="226">
        <v>0</v>
      </c>
      <c r="H77" s="226"/>
      <c r="I77" s="226"/>
      <c r="J77" s="226"/>
      <c r="K77" s="224"/>
      <c r="M77" s="21"/>
      <c r="N77" s="21"/>
      <c r="O77" s="21"/>
      <c r="P77" s="21"/>
      <c r="Q77" s="21"/>
      <c r="R77" s="21"/>
      <c r="S77" s="21"/>
      <c r="T77" s="21"/>
    </row>
    <row r="78" spans="1:20" ht="17.25" customHeight="1" x14ac:dyDescent="0.25">
      <c r="A78" s="54" t="s">
        <v>23</v>
      </c>
      <c r="B78" s="236" t="s">
        <v>91</v>
      </c>
      <c r="C78" s="236"/>
      <c r="D78" s="236"/>
      <c r="E78" s="236"/>
      <c r="F78" s="236"/>
      <c r="G78" s="236"/>
      <c r="H78" s="236"/>
      <c r="I78" s="236"/>
      <c r="J78" s="236"/>
      <c r="K78" s="59"/>
    </row>
    <row r="79" spans="1:20" ht="17.25" customHeight="1" x14ac:dyDescent="0.25">
      <c r="A79" s="189" t="s">
        <v>92</v>
      </c>
      <c r="B79" s="189"/>
      <c r="C79" s="189"/>
      <c r="D79" s="189"/>
      <c r="E79" s="189"/>
      <c r="F79" s="189"/>
      <c r="G79" s="189"/>
      <c r="H79" s="189"/>
      <c r="I79" s="189"/>
      <c r="J79" s="189"/>
      <c r="K79" s="19">
        <f>ROUND(SUM(K62:K78),2)</f>
        <v>691.75</v>
      </c>
    </row>
    <row r="80" spans="1:20" ht="17.25" customHeight="1" x14ac:dyDescent="0.25">
      <c r="A80" s="172" t="s">
        <v>93</v>
      </c>
      <c r="B80" s="172"/>
      <c r="C80" s="172"/>
      <c r="D80" s="172"/>
      <c r="E80" s="172"/>
      <c r="F80" s="172"/>
      <c r="G80" s="172"/>
      <c r="H80" s="172"/>
      <c r="I80" s="172"/>
      <c r="J80" s="172"/>
      <c r="K80" s="17">
        <f>ROUND(SUM(K79,K59,K43),2)</f>
        <v>1630.97</v>
      </c>
    </row>
    <row r="81" spans="1:20" ht="6.75" customHeight="1" x14ac:dyDescent="0.25">
      <c r="A81" s="165"/>
      <c r="B81" s="165"/>
      <c r="C81" s="165"/>
      <c r="D81" s="165"/>
      <c r="E81" s="165"/>
      <c r="F81" s="165"/>
      <c r="G81" s="165"/>
      <c r="H81" s="165"/>
      <c r="I81" s="165"/>
      <c r="J81" s="165"/>
      <c r="K81" s="165"/>
    </row>
    <row r="82" spans="1:20" ht="17.25" customHeight="1" x14ac:dyDescent="0.25">
      <c r="A82" s="240" t="s">
        <v>94</v>
      </c>
      <c r="B82" s="240"/>
      <c r="C82" s="240"/>
      <c r="D82" s="240"/>
      <c r="E82" s="240"/>
      <c r="F82" s="240"/>
      <c r="G82" s="240"/>
      <c r="H82" s="240"/>
      <c r="I82" s="240"/>
      <c r="J82" s="240"/>
      <c r="K82" s="240"/>
      <c r="M82" s="179"/>
      <c r="N82" s="179"/>
      <c r="O82" s="179"/>
      <c r="P82" s="179"/>
      <c r="Q82" s="179"/>
      <c r="R82" s="179"/>
      <c r="S82" s="179"/>
      <c r="T82" s="179"/>
    </row>
    <row r="83" spans="1:20" ht="17.25" customHeight="1" x14ac:dyDescent="0.25">
      <c r="A83" s="189" t="s">
        <v>95</v>
      </c>
      <c r="B83" s="189"/>
      <c r="C83" s="189"/>
      <c r="D83" s="189"/>
      <c r="E83" s="189"/>
      <c r="F83" s="189"/>
      <c r="G83" s="189"/>
      <c r="H83" s="189"/>
      <c r="I83" s="189"/>
      <c r="J83" s="189"/>
      <c r="K83" s="189"/>
      <c r="M83" s="179"/>
      <c r="N83" s="179"/>
      <c r="O83" s="179"/>
      <c r="P83" s="179"/>
      <c r="Q83" s="179"/>
      <c r="R83" s="179"/>
      <c r="S83" s="179"/>
      <c r="T83" s="179"/>
    </row>
    <row r="84" spans="1:20" ht="17.25" customHeight="1" x14ac:dyDescent="0.25">
      <c r="A84" s="237" t="s">
        <v>60</v>
      </c>
      <c r="B84" s="237"/>
      <c r="C84" s="237"/>
      <c r="D84" s="237"/>
      <c r="E84" s="237"/>
      <c r="F84" s="237"/>
      <c r="G84" s="237"/>
      <c r="H84" s="237"/>
      <c r="I84" s="237"/>
      <c r="J84" s="237"/>
      <c r="K84" s="22">
        <f>K35</f>
        <v>1481.56</v>
      </c>
      <c r="M84" s="179"/>
      <c r="N84" s="179"/>
      <c r="O84" s="179"/>
      <c r="P84" s="179"/>
      <c r="Q84" s="179"/>
      <c r="R84" s="179"/>
      <c r="S84" s="179"/>
      <c r="T84" s="179"/>
    </row>
    <row r="85" spans="1:20" ht="17.25" customHeight="1" x14ac:dyDescent="0.25">
      <c r="A85" s="237" t="s">
        <v>96</v>
      </c>
      <c r="B85" s="237"/>
      <c r="C85" s="237"/>
      <c r="D85" s="237"/>
      <c r="E85" s="237"/>
      <c r="F85" s="237"/>
      <c r="G85" s="237"/>
      <c r="H85" s="237"/>
      <c r="I85" s="237"/>
      <c r="J85" s="237"/>
      <c r="K85" s="22">
        <f>K43</f>
        <v>288.01</v>
      </c>
      <c r="M85" s="179"/>
      <c r="N85" s="179"/>
      <c r="O85" s="179"/>
      <c r="P85" s="179"/>
      <c r="Q85" s="179"/>
      <c r="R85" s="179"/>
      <c r="S85" s="179"/>
      <c r="T85" s="179"/>
    </row>
    <row r="86" spans="1:20" ht="17.25" customHeight="1" x14ac:dyDescent="0.25">
      <c r="A86" s="237" t="s">
        <v>145</v>
      </c>
      <c r="B86" s="237"/>
      <c r="C86" s="237"/>
      <c r="D86" s="237"/>
      <c r="E86" s="237"/>
      <c r="F86" s="237"/>
      <c r="G86" s="237"/>
      <c r="H86" s="237"/>
      <c r="I86" s="237"/>
      <c r="J86" s="237"/>
      <c r="K86" s="22">
        <f>K58</f>
        <v>141.57</v>
      </c>
      <c r="M86" s="179"/>
      <c r="N86" s="179"/>
      <c r="O86" s="179"/>
      <c r="P86" s="179"/>
      <c r="Q86" s="179"/>
      <c r="R86" s="179"/>
      <c r="S86" s="179"/>
      <c r="T86" s="179"/>
    </row>
    <row r="87" spans="1:20" ht="17.25" customHeight="1" x14ac:dyDescent="0.25">
      <c r="A87" s="237" t="s">
        <v>75</v>
      </c>
      <c r="B87" s="237"/>
      <c r="C87" s="237"/>
      <c r="D87" s="237"/>
      <c r="E87" s="237"/>
      <c r="F87" s="237"/>
      <c r="G87" s="237"/>
      <c r="H87" s="237"/>
      <c r="I87" s="237"/>
      <c r="J87" s="237"/>
      <c r="K87" s="22">
        <f>K79</f>
        <v>691.75</v>
      </c>
      <c r="M87" s="179"/>
      <c r="N87" s="179"/>
      <c r="O87" s="179"/>
      <c r="P87" s="179"/>
      <c r="Q87" s="179"/>
      <c r="R87" s="179"/>
      <c r="S87" s="179"/>
      <c r="T87" s="179"/>
    </row>
    <row r="88" spans="1:20" ht="17.25" customHeight="1" x14ac:dyDescent="0.25">
      <c r="A88" s="237" t="s">
        <v>146</v>
      </c>
      <c r="B88" s="237"/>
      <c r="C88" s="237"/>
      <c r="D88" s="237"/>
      <c r="E88" s="237"/>
      <c r="F88" s="237"/>
      <c r="G88" s="237"/>
      <c r="H88" s="237"/>
      <c r="I88" s="237"/>
      <c r="J88" s="237"/>
      <c r="K88" s="22">
        <f>SUM(K84:K87)</f>
        <v>2602.89</v>
      </c>
      <c r="M88" s="179"/>
      <c r="N88" s="179"/>
      <c r="O88" s="179"/>
      <c r="P88" s="179"/>
      <c r="Q88" s="179"/>
      <c r="R88" s="179"/>
      <c r="S88" s="179"/>
      <c r="T88" s="179"/>
    </row>
    <row r="89" spans="1:20" ht="17.25" customHeight="1" x14ac:dyDescent="0.25">
      <c r="A89" s="237" t="s">
        <v>97</v>
      </c>
      <c r="B89" s="237"/>
      <c r="C89" s="237"/>
      <c r="D89" s="237"/>
      <c r="E89" s="237"/>
      <c r="F89" s="237"/>
      <c r="G89" s="237"/>
      <c r="H89" s="237"/>
      <c r="I89" s="237"/>
      <c r="J89" s="237"/>
      <c r="K89" s="22">
        <f>ROUND(K88/12,2)</f>
        <v>216.91</v>
      </c>
      <c r="M89" s="179"/>
      <c r="N89" s="179"/>
      <c r="O89" s="179"/>
      <c r="P89" s="179"/>
      <c r="Q89" s="179"/>
      <c r="R89" s="179"/>
      <c r="S89" s="179"/>
      <c r="T89" s="179"/>
    </row>
    <row r="90" spans="1:20" ht="17.25" customHeight="1" x14ac:dyDescent="0.25">
      <c r="A90" s="237" t="s">
        <v>147</v>
      </c>
      <c r="B90" s="237"/>
      <c r="C90" s="237"/>
      <c r="D90" s="237"/>
      <c r="E90" s="237"/>
      <c r="F90" s="237"/>
      <c r="G90" s="237"/>
      <c r="H90" s="237"/>
      <c r="I90" s="237"/>
      <c r="J90" s="237"/>
      <c r="K90" s="22">
        <f>ROUND(K86*40%,2)</f>
        <v>56.63</v>
      </c>
      <c r="M90" s="179"/>
      <c r="N90" s="179"/>
      <c r="O90" s="179"/>
      <c r="P90" s="179"/>
      <c r="Q90" s="179"/>
      <c r="R90" s="179"/>
      <c r="S90" s="179"/>
      <c r="T90" s="179"/>
    </row>
    <row r="91" spans="1:20" ht="17.25" customHeight="1" x14ac:dyDescent="0.25">
      <c r="A91" s="167" t="s">
        <v>98</v>
      </c>
      <c r="B91" s="167"/>
      <c r="C91" s="167"/>
      <c r="D91" s="167"/>
      <c r="E91" s="167"/>
      <c r="F91" s="167"/>
      <c r="G91" s="167"/>
      <c r="H91" s="167"/>
      <c r="I91" s="167"/>
      <c r="J91" s="167"/>
      <c r="K91" s="52">
        <f>ROUND(K89+K90,2)</f>
        <v>273.54000000000002</v>
      </c>
      <c r="M91" s="179"/>
      <c r="N91" s="179"/>
      <c r="O91" s="179"/>
      <c r="P91" s="179"/>
      <c r="Q91" s="179"/>
      <c r="R91" s="179"/>
      <c r="S91" s="179"/>
      <c r="T91" s="179"/>
    </row>
    <row r="92" spans="1:20" ht="17.25" customHeight="1" x14ac:dyDescent="0.25">
      <c r="A92" s="167" t="s">
        <v>99</v>
      </c>
      <c r="B92" s="167"/>
      <c r="C92" s="167"/>
      <c r="D92" s="167"/>
      <c r="E92" s="167"/>
      <c r="F92" s="167"/>
      <c r="G92" s="167"/>
      <c r="H92" s="212" t="s">
        <v>100</v>
      </c>
      <c r="I92" s="212"/>
      <c r="J92" s="212"/>
      <c r="K92" s="23" t="s">
        <v>101</v>
      </c>
      <c r="M92" s="179"/>
      <c r="N92" s="179"/>
      <c r="O92" s="179"/>
      <c r="P92" s="179"/>
      <c r="Q92" s="179"/>
      <c r="R92" s="179"/>
      <c r="S92" s="179"/>
      <c r="T92" s="179"/>
    </row>
    <row r="93" spans="1:20" ht="17.25" customHeight="1" x14ac:dyDescent="0.25">
      <c r="A93" s="167"/>
      <c r="B93" s="167"/>
      <c r="C93" s="167"/>
      <c r="D93" s="167"/>
      <c r="E93" s="167"/>
      <c r="F93" s="167"/>
      <c r="G93" s="167"/>
      <c r="H93" s="192">
        <v>0.5</v>
      </c>
      <c r="I93" s="192"/>
      <c r="J93" s="192"/>
      <c r="K93" s="52">
        <f>ROUND(H93*K91,2)</f>
        <v>136.77000000000001</v>
      </c>
      <c r="M93" s="179"/>
      <c r="N93" s="179"/>
      <c r="O93" s="179"/>
      <c r="P93" s="179"/>
      <c r="Q93" s="179"/>
      <c r="R93" s="179"/>
      <c r="S93" s="179"/>
      <c r="T93" s="179"/>
    </row>
    <row r="94" spans="1:20" ht="17.25" customHeight="1" x14ac:dyDescent="0.25">
      <c r="A94" s="189" t="s">
        <v>148</v>
      </c>
      <c r="B94" s="189"/>
      <c r="C94" s="189"/>
      <c r="D94" s="189"/>
      <c r="E94" s="189"/>
      <c r="F94" s="189"/>
      <c r="G94" s="189"/>
      <c r="H94" s="189"/>
      <c r="I94" s="189"/>
      <c r="J94" s="189"/>
      <c r="K94" s="19">
        <f>ROUND(K93,2)</f>
        <v>136.77000000000001</v>
      </c>
      <c r="M94" s="179"/>
      <c r="N94" s="179"/>
      <c r="O94" s="179"/>
      <c r="P94" s="179"/>
      <c r="Q94" s="179"/>
      <c r="R94" s="179"/>
      <c r="S94" s="179"/>
      <c r="T94" s="179"/>
    </row>
    <row r="95" spans="1:20" ht="17.25" customHeight="1" x14ac:dyDescent="0.25">
      <c r="A95" s="241" t="s">
        <v>102</v>
      </c>
      <c r="B95" s="241"/>
      <c r="C95" s="241"/>
      <c r="D95" s="241"/>
      <c r="E95" s="241"/>
      <c r="F95" s="241"/>
      <c r="G95" s="241"/>
      <c r="H95" s="241"/>
      <c r="I95" s="241"/>
      <c r="J95" s="241"/>
      <c r="K95" s="241"/>
      <c r="M95" s="179"/>
      <c r="N95" s="179"/>
      <c r="O95" s="179"/>
      <c r="P95" s="179"/>
      <c r="Q95" s="179"/>
      <c r="R95" s="179"/>
      <c r="S95" s="179"/>
      <c r="T95" s="179"/>
    </row>
    <row r="96" spans="1:20" ht="17.25" customHeight="1" x14ac:dyDescent="0.25">
      <c r="A96" s="237" t="s">
        <v>147</v>
      </c>
      <c r="B96" s="237"/>
      <c r="C96" s="237"/>
      <c r="D96" s="237"/>
      <c r="E96" s="237"/>
      <c r="F96" s="237"/>
      <c r="G96" s="237"/>
      <c r="H96" s="237"/>
      <c r="I96" s="237"/>
      <c r="J96" s="237"/>
      <c r="K96" s="22">
        <f>ROUND(K86*40%,2)</f>
        <v>56.63</v>
      </c>
      <c r="M96" s="179"/>
      <c r="N96" s="179"/>
      <c r="O96" s="179"/>
      <c r="P96" s="179"/>
      <c r="Q96" s="179"/>
      <c r="R96" s="179"/>
      <c r="S96" s="179"/>
      <c r="T96" s="179"/>
    </row>
    <row r="97" spans="1:20" ht="17.25" customHeight="1" x14ac:dyDescent="0.25">
      <c r="A97" s="167" t="s">
        <v>103</v>
      </c>
      <c r="B97" s="167"/>
      <c r="C97" s="167"/>
      <c r="D97" s="167"/>
      <c r="E97" s="167"/>
      <c r="F97" s="167"/>
      <c r="G97" s="167"/>
      <c r="H97" s="167"/>
      <c r="I97" s="167"/>
      <c r="J97" s="167"/>
      <c r="K97" s="52">
        <f>K96</f>
        <v>56.63</v>
      </c>
      <c r="M97" s="179"/>
      <c r="N97" s="179"/>
      <c r="O97" s="179"/>
      <c r="P97" s="179"/>
      <c r="Q97" s="179"/>
      <c r="R97" s="179"/>
      <c r="S97" s="179"/>
      <c r="T97" s="179"/>
    </row>
    <row r="98" spans="1:20" ht="17.25" customHeight="1" x14ac:dyDescent="0.25">
      <c r="A98" s="167" t="s">
        <v>104</v>
      </c>
      <c r="B98" s="167"/>
      <c r="C98" s="167"/>
      <c r="D98" s="167"/>
      <c r="E98" s="167"/>
      <c r="F98" s="167"/>
      <c r="G98" s="167"/>
      <c r="H98" s="212" t="s">
        <v>100</v>
      </c>
      <c r="I98" s="212"/>
      <c r="J98" s="212"/>
      <c r="K98" s="23" t="s">
        <v>101</v>
      </c>
      <c r="M98" s="179"/>
      <c r="N98" s="179"/>
      <c r="O98" s="179"/>
      <c r="P98" s="179"/>
      <c r="Q98" s="179"/>
      <c r="R98" s="179"/>
      <c r="S98" s="179"/>
      <c r="T98" s="179"/>
    </row>
    <row r="99" spans="1:20" ht="17.25" customHeight="1" x14ac:dyDescent="0.25">
      <c r="A99" s="167"/>
      <c r="B99" s="167"/>
      <c r="C99" s="167"/>
      <c r="D99" s="167"/>
      <c r="E99" s="167"/>
      <c r="F99" s="167"/>
      <c r="G99" s="167"/>
      <c r="H99" s="192">
        <v>0.5</v>
      </c>
      <c r="I99" s="192"/>
      <c r="J99" s="192"/>
      <c r="K99" s="52">
        <f>ROUND(H99*K97,2)</f>
        <v>28.32</v>
      </c>
      <c r="M99" s="179"/>
      <c r="N99" s="179"/>
      <c r="O99" s="179"/>
      <c r="P99" s="179"/>
      <c r="Q99" s="179"/>
      <c r="R99" s="179"/>
      <c r="S99" s="179"/>
      <c r="T99" s="179"/>
    </row>
    <row r="100" spans="1:20" ht="17.25" customHeight="1" x14ac:dyDescent="0.25">
      <c r="A100" s="189" t="s">
        <v>149</v>
      </c>
      <c r="B100" s="189"/>
      <c r="C100" s="189"/>
      <c r="D100" s="189"/>
      <c r="E100" s="189"/>
      <c r="F100" s="189"/>
      <c r="G100" s="189"/>
      <c r="H100" s="189"/>
      <c r="I100" s="189"/>
      <c r="J100" s="189"/>
      <c r="K100" s="19">
        <f>ROUND(K99,2)</f>
        <v>28.32</v>
      </c>
      <c r="M100" s="179"/>
      <c r="N100" s="179"/>
      <c r="O100" s="179"/>
      <c r="P100" s="179"/>
      <c r="Q100" s="179"/>
      <c r="R100" s="179"/>
      <c r="S100" s="179"/>
      <c r="T100" s="179"/>
    </row>
    <row r="101" spans="1:20" ht="17.25" customHeight="1" x14ac:dyDescent="0.25">
      <c r="A101" s="241" t="s">
        <v>150</v>
      </c>
      <c r="B101" s="241"/>
      <c r="C101" s="241"/>
      <c r="D101" s="241"/>
      <c r="E101" s="241"/>
      <c r="F101" s="241"/>
      <c r="G101" s="241"/>
      <c r="H101" s="241"/>
      <c r="I101" s="241"/>
      <c r="J101" s="241"/>
      <c r="K101" s="241"/>
      <c r="M101" s="179"/>
      <c r="N101" s="179"/>
      <c r="O101" s="179"/>
      <c r="P101" s="179"/>
      <c r="Q101" s="179"/>
      <c r="R101" s="179"/>
      <c r="S101" s="179"/>
      <c r="T101" s="179"/>
    </row>
    <row r="102" spans="1:20" ht="17.25" customHeight="1" x14ac:dyDescent="0.25">
      <c r="A102" s="242" t="s">
        <v>151</v>
      </c>
      <c r="B102" s="242"/>
      <c r="C102" s="242"/>
      <c r="D102" s="242"/>
      <c r="E102" s="242"/>
      <c r="F102" s="242"/>
      <c r="G102" s="242"/>
      <c r="H102" s="242"/>
      <c r="I102" s="242"/>
      <c r="J102" s="242"/>
      <c r="K102" s="22">
        <f>K94+K100</f>
        <v>165.09</v>
      </c>
      <c r="M102" s="179"/>
      <c r="N102" s="179"/>
      <c r="O102" s="179"/>
      <c r="P102" s="179"/>
      <c r="Q102" s="179"/>
      <c r="R102" s="179"/>
      <c r="S102" s="179"/>
      <c r="T102" s="179"/>
    </row>
    <row r="103" spans="1:20" ht="17.25" customHeight="1" x14ac:dyDescent="0.25">
      <c r="A103" s="242" t="s">
        <v>152</v>
      </c>
      <c r="B103" s="242"/>
      <c r="C103" s="242"/>
      <c r="D103" s="242"/>
      <c r="E103" s="242"/>
      <c r="F103" s="242"/>
      <c r="G103" s="242"/>
      <c r="H103" s="242"/>
      <c r="I103" s="242"/>
      <c r="J103" s="242"/>
      <c r="K103" s="22">
        <f>K102/10</f>
        <v>16.509</v>
      </c>
      <c r="M103" s="179"/>
      <c r="N103" s="179"/>
      <c r="O103" s="179"/>
      <c r="P103" s="179"/>
      <c r="Q103" s="179"/>
      <c r="R103" s="179"/>
      <c r="S103" s="179"/>
      <c r="T103" s="179"/>
    </row>
    <row r="104" spans="1:20" ht="30" customHeight="1" x14ac:dyDescent="0.25">
      <c r="A104" s="167" t="s">
        <v>153</v>
      </c>
      <c r="B104" s="167"/>
      <c r="C104" s="167"/>
      <c r="D104" s="167"/>
      <c r="E104" s="167"/>
      <c r="F104" s="167"/>
      <c r="G104" s="167"/>
      <c r="H104" s="243" t="s">
        <v>154</v>
      </c>
      <c r="I104" s="243"/>
      <c r="J104" s="243"/>
      <c r="K104" s="23" t="s">
        <v>101</v>
      </c>
      <c r="M104" s="179"/>
      <c r="N104" s="179"/>
      <c r="O104" s="179"/>
      <c r="P104" s="179"/>
      <c r="Q104" s="179"/>
      <c r="R104" s="179"/>
      <c r="S104" s="179"/>
      <c r="T104" s="179"/>
    </row>
    <row r="105" spans="1:20" ht="17.25" customHeight="1" x14ac:dyDescent="0.25">
      <c r="A105" s="167"/>
      <c r="B105" s="167"/>
      <c r="C105" s="167"/>
      <c r="D105" s="167"/>
      <c r="E105" s="167"/>
      <c r="F105" s="167"/>
      <c r="G105" s="167"/>
      <c r="H105" s="244">
        <v>0</v>
      </c>
      <c r="I105" s="244"/>
      <c r="J105" s="244"/>
      <c r="K105" s="52">
        <f>ROUND(K103*H105,2)</f>
        <v>0</v>
      </c>
      <c r="M105" s="179"/>
      <c r="N105" s="179"/>
      <c r="O105" s="179"/>
      <c r="P105" s="179"/>
      <c r="Q105" s="179"/>
      <c r="R105" s="179"/>
      <c r="S105" s="179"/>
      <c r="T105" s="179"/>
    </row>
    <row r="106" spans="1:20" ht="17.25" customHeight="1" x14ac:dyDescent="0.25">
      <c r="A106" s="189" t="s">
        <v>155</v>
      </c>
      <c r="B106" s="189"/>
      <c r="C106" s="189"/>
      <c r="D106" s="189"/>
      <c r="E106" s="189"/>
      <c r="F106" s="189"/>
      <c r="G106" s="189"/>
      <c r="H106" s="189"/>
      <c r="I106" s="189"/>
      <c r="J106" s="189"/>
      <c r="K106" s="19">
        <f>K105</f>
        <v>0</v>
      </c>
      <c r="M106" s="179"/>
      <c r="N106" s="179"/>
      <c r="O106" s="179"/>
      <c r="P106" s="179"/>
      <c r="Q106" s="179"/>
      <c r="R106" s="179"/>
      <c r="S106" s="179"/>
      <c r="T106" s="179"/>
    </row>
    <row r="107" spans="1:20" ht="17.25" customHeight="1" x14ac:dyDescent="0.25">
      <c r="A107" s="239" t="s">
        <v>105</v>
      </c>
      <c r="B107" s="239"/>
      <c r="C107" s="239"/>
      <c r="D107" s="239"/>
      <c r="E107" s="239"/>
      <c r="F107" s="239"/>
      <c r="G107" s="239"/>
      <c r="H107" s="239"/>
      <c r="I107" s="239"/>
      <c r="J107" s="239"/>
      <c r="K107" s="24">
        <f>K94+K100+K106</f>
        <v>165.09</v>
      </c>
      <c r="M107" s="179"/>
      <c r="N107" s="179"/>
      <c r="O107" s="179"/>
      <c r="P107" s="179"/>
      <c r="Q107" s="179"/>
      <c r="R107" s="179"/>
      <c r="S107" s="179"/>
      <c r="T107" s="179"/>
    </row>
    <row r="108" spans="1:20" ht="9.75" customHeight="1" x14ac:dyDescent="0.25">
      <c r="A108" s="165"/>
      <c r="B108" s="165"/>
      <c r="C108" s="165"/>
      <c r="D108" s="165"/>
      <c r="E108" s="165"/>
      <c r="F108" s="165"/>
      <c r="G108" s="165"/>
      <c r="H108" s="165"/>
      <c r="I108" s="165"/>
      <c r="J108" s="165"/>
      <c r="K108" s="165"/>
      <c r="M108" s="179"/>
      <c r="N108" s="179"/>
      <c r="O108" s="179"/>
      <c r="P108" s="179"/>
      <c r="Q108" s="179"/>
      <c r="R108" s="179"/>
      <c r="S108" s="179"/>
      <c r="T108" s="179"/>
    </row>
    <row r="109" spans="1:20" ht="17.25" customHeight="1" x14ac:dyDescent="0.25">
      <c r="A109" s="172" t="s">
        <v>106</v>
      </c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  <c r="M109" s="179"/>
      <c r="N109" s="179"/>
      <c r="O109" s="179"/>
      <c r="P109" s="179"/>
      <c r="Q109" s="179"/>
      <c r="R109" s="179"/>
      <c r="S109" s="179"/>
      <c r="T109" s="179"/>
    </row>
    <row r="110" spans="1:20" ht="17.25" customHeight="1" x14ac:dyDescent="0.25">
      <c r="A110" s="189" t="s">
        <v>107</v>
      </c>
      <c r="B110" s="189"/>
      <c r="C110" s="189"/>
      <c r="D110" s="189"/>
      <c r="E110" s="189"/>
      <c r="F110" s="189"/>
      <c r="G110" s="189"/>
      <c r="H110" s="189"/>
      <c r="I110" s="189"/>
      <c r="J110" s="189"/>
      <c r="K110" s="189"/>
      <c r="M110" s="179"/>
      <c r="N110" s="179"/>
      <c r="O110" s="179"/>
      <c r="P110" s="179"/>
      <c r="Q110" s="179"/>
      <c r="R110" s="179"/>
      <c r="S110" s="179"/>
      <c r="T110" s="179"/>
    </row>
    <row r="111" spans="1:20" ht="17.25" customHeight="1" x14ac:dyDescent="0.25">
      <c r="A111" s="189" t="s">
        <v>156</v>
      </c>
      <c r="B111" s="189"/>
      <c r="C111" s="189"/>
      <c r="D111" s="189"/>
      <c r="E111" s="189"/>
      <c r="F111" s="189"/>
      <c r="G111" s="189"/>
      <c r="H111" s="189"/>
      <c r="I111" s="189"/>
      <c r="J111" s="189"/>
      <c r="K111" s="189"/>
      <c r="M111" s="179"/>
      <c r="N111" s="179"/>
      <c r="O111" s="179"/>
      <c r="P111" s="179"/>
      <c r="Q111" s="179"/>
      <c r="R111" s="179"/>
      <c r="S111" s="179"/>
      <c r="T111" s="179"/>
    </row>
    <row r="112" spans="1:20" ht="39.75" customHeight="1" x14ac:dyDescent="0.25">
      <c r="A112" s="189" t="s">
        <v>157</v>
      </c>
      <c r="B112" s="189"/>
      <c r="C112" s="189"/>
      <c r="D112" s="189"/>
      <c r="E112" s="189"/>
      <c r="F112" s="58" t="s">
        <v>158</v>
      </c>
      <c r="G112" s="25" t="s">
        <v>159</v>
      </c>
      <c r="H112" s="189" t="s">
        <v>160</v>
      </c>
      <c r="I112" s="189"/>
      <c r="J112" s="189"/>
      <c r="K112" s="58" t="s">
        <v>161</v>
      </c>
      <c r="M112" s="179"/>
      <c r="N112" s="179"/>
      <c r="O112" s="179"/>
      <c r="P112" s="179"/>
      <c r="Q112" s="179"/>
      <c r="R112" s="179"/>
      <c r="S112" s="179"/>
      <c r="T112" s="179"/>
    </row>
    <row r="113" spans="1:20" ht="17.25" customHeight="1" x14ac:dyDescent="0.25">
      <c r="A113" s="167" t="s">
        <v>162</v>
      </c>
      <c r="B113" s="167"/>
      <c r="C113" s="167"/>
      <c r="D113" s="167"/>
      <c r="E113" s="167"/>
      <c r="F113" s="5">
        <v>1</v>
      </c>
      <c r="G113" s="54">
        <v>30</v>
      </c>
      <c r="H113" s="238">
        <f>255/365</f>
        <v>0.69863013698630139</v>
      </c>
      <c r="I113" s="238"/>
      <c r="J113" s="238"/>
      <c r="K113" s="26">
        <f>ROUND(F113*G113*H113,4)</f>
        <v>20.9589</v>
      </c>
      <c r="M113" s="179"/>
      <c r="N113" s="179"/>
      <c r="O113" s="179"/>
      <c r="P113" s="179"/>
      <c r="Q113" s="179"/>
      <c r="R113" s="179"/>
      <c r="S113" s="179"/>
      <c r="T113" s="179"/>
    </row>
    <row r="114" spans="1:20" ht="17.25" customHeight="1" x14ac:dyDescent="0.25">
      <c r="A114" s="167" t="s">
        <v>163</v>
      </c>
      <c r="B114" s="167"/>
      <c r="C114" s="167"/>
      <c r="D114" s="167"/>
      <c r="E114" s="167"/>
      <c r="F114" s="5">
        <v>1</v>
      </c>
      <c r="G114" s="54">
        <v>1</v>
      </c>
      <c r="H114" s="238">
        <v>1</v>
      </c>
      <c r="I114" s="238"/>
      <c r="J114" s="238"/>
      <c r="K114" s="26">
        <f t="shared" ref="K114:K124" si="1">ROUND(F114*G114*H114,4)</f>
        <v>1</v>
      </c>
      <c r="M114" s="179"/>
      <c r="N114" s="179"/>
      <c r="O114" s="179"/>
      <c r="P114" s="179"/>
      <c r="Q114" s="179"/>
      <c r="R114" s="179"/>
      <c r="S114" s="179"/>
      <c r="T114" s="179"/>
    </row>
    <row r="115" spans="1:20" ht="17.25" customHeight="1" x14ac:dyDescent="0.25">
      <c r="A115" s="167" t="s">
        <v>164</v>
      </c>
      <c r="B115" s="167"/>
      <c r="C115" s="167"/>
      <c r="D115" s="167"/>
      <c r="E115" s="167"/>
      <c r="F115" s="5">
        <v>9.2200000000000004E-2</v>
      </c>
      <c r="G115" s="54">
        <v>15</v>
      </c>
      <c r="H115" s="238">
        <f>255/365</f>
        <v>0.69863013698630139</v>
      </c>
      <c r="I115" s="238"/>
      <c r="J115" s="238"/>
      <c r="K115" s="26">
        <f t="shared" si="1"/>
        <v>0.96619999999999995</v>
      </c>
      <c r="M115" s="179"/>
      <c r="N115" s="179"/>
      <c r="O115" s="179"/>
      <c r="P115" s="179"/>
      <c r="Q115" s="179"/>
      <c r="R115" s="179"/>
      <c r="S115" s="179"/>
      <c r="T115" s="179"/>
    </row>
    <row r="116" spans="1:20" ht="17.25" customHeight="1" x14ac:dyDescent="0.25">
      <c r="A116" s="167" t="s">
        <v>165</v>
      </c>
      <c r="B116" s="167"/>
      <c r="C116" s="167"/>
      <c r="D116" s="167"/>
      <c r="E116" s="167"/>
      <c r="F116" s="5">
        <v>1</v>
      </c>
      <c r="G116" s="54">
        <v>5</v>
      </c>
      <c r="H116" s="238">
        <f>255/365</f>
        <v>0.69863013698630139</v>
      </c>
      <c r="I116" s="238"/>
      <c r="J116" s="238"/>
      <c r="K116" s="26">
        <f t="shared" si="1"/>
        <v>3.4931999999999999</v>
      </c>
      <c r="M116" s="179"/>
      <c r="N116" s="179"/>
      <c r="O116" s="179"/>
      <c r="P116" s="179"/>
      <c r="Q116" s="179"/>
      <c r="R116" s="179"/>
      <c r="S116" s="179"/>
      <c r="T116" s="179"/>
    </row>
    <row r="117" spans="1:20" ht="17.25" customHeight="1" x14ac:dyDescent="0.25">
      <c r="A117" s="167" t="s">
        <v>166</v>
      </c>
      <c r="B117" s="167"/>
      <c r="C117" s="167"/>
      <c r="D117" s="167"/>
      <c r="E117" s="167"/>
      <c r="F117" s="5">
        <v>0.13439999999999999</v>
      </c>
      <c r="G117" s="54">
        <v>2</v>
      </c>
      <c r="H117" s="238">
        <v>1</v>
      </c>
      <c r="I117" s="238"/>
      <c r="J117" s="238"/>
      <c r="K117" s="26">
        <f t="shared" si="1"/>
        <v>0.26879999999999998</v>
      </c>
      <c r="M117" s="179"/>
      <c r="N117" s="179"/>
      <c r="O117" s="179"/>
      <c r="P117" s="179"/>
      <c r="Q117" s="179"/>
      <c r="R117" s="179"/>
      <c r="S117" s="179"/>
      <c r="T117" s="179"/>
    </row>
    <row r="118" spans="1:20" ht="17.25" customHeight="1" x14ac:dyDescent="0.25">
      <c r="A118" s="167" t="s">
        <v>167</v>
      </c>
      <c r="B118" s="167"/>
      <c r="C118" s="167"/>
      <c r="D118" s="167"/>
      <c r="E118" s="167"/>
      <c r="F118" s="5">
        <v>3.0499999999999999E-2</v>
      </c>
      <c r="G118" s="54">
        <v>2</v>
      </c>
      <c r="H118" s="238">
        <f>255/365</f>
        <v>0.69863013698630139</v>
      </c>
      <c r="I118" s="238"/>
      <c r="J118" s="238"/>
      <c r="K118" s="26">
        <f t="shared" si="1"/>
        <v>4.2599999999999999E-2</v>
      </c>
      <c r="M118" s="179"/>
      <c r="N118" s="179"/>
      <c r="O118" s="179"/>
      <c r="P118" s="179"/>
      <c r="Q118" s="179"/>
      <c r="R118" s="179"/>
      <c r="S118" s="179"/>
      <c r="T118" s="179"/>
    </row>
    <row r="119" spans="1:20" ht="17.25" customHeight="1" x14ac:dyDescent="0.25">
      <c r="A119" s="167" t="s">
        <v>168</v>
      </c>
      <c r="B119" s="167"/>
      <c r="C119" s="167"/>
      <c r="D119" s="167"/>
      <c r="E119" s="167"/>
      <c r="F119" s="5">
        <v>1.18E-2</v>
      </c>
      <c r="G119" s="54">
        <v>3</v>
      </c>
      <c r="H119" s="238">
        <v>1</v>
      </c>
      <c r="I119" s="238"/>
      <c r="J119" s="238"/>
      <c r="K119" s="26">
        <f t="shared" si="1"/>
        <v>3.5400000000000001E-2</v>
      </c>
      <c r="M119" s="179"/>
      <c r="N119" s="179"/>
      <c r="O119" s="179"/>
      <c r="P119" s="179"/>
      <c r="Q119" s="179"/>
      <c r="R119" s="179"/>
      <c r="S119" s="179"/>
      <c r="T119" s="179"/>
    </row>
    <row r="120" spans="1:20" ht="17.25" customHeight="1" x14ac:dyDescent="0.25">
      <c r="A120" s="167" t="s">
        <v>169</v>
      </c>
      <c r="B120" s="167"/>
      <c r="C120" s="167"/>
      <c r="D120" s="167"/>
      <c r="E120" s="167"/>
      <c r="F120" s="5">
        <v>0.02</v>
      </c>
      <c r="G120" s="54">
        <v>1</v>
      </c>
      <c r="H120" s="238">
        <v>1</v>
      </c>
      <c r="I120" s="238"/>
      <c r="J120" s="238"/>
      <c r="K120" s="26">
        <f t="shared" si="1"/>
        <v>0.02</v>
      </c>
      <c r="M120" s="179"/>
      <c r="N120" s="179"/>
      <c r="O120" s="179"/>
      <c r="P120" s="179"/>
      <c r="Q120" s="179"/>
      <c r="R120" s="179"/>
      <c r="S120" s="179"/>
      <c r="T120" s="179"/>
    </row>
    <row r="121" spans="1:20" ht="17.25" customHeight="1" x14ac:dyDescent="0.25">
      <c r="A121" s="167" t="s">
        <v>170</v>
      </c>
      <c r="B121" s="167"/>
      <c r="C121" s="167"/>
      <c r="D121" s="167"/>
      <c r="E121" s="167"/>
      <c r="F121" s="5">
        <v>4.0000000000000001E-3</v>
      </c>
      <c r="G121" s="54">
        <v>1</v>
      </c>
      <c r="H121" s="238">
        <v>1</v>
      </c>
      <c r="I121" s="238"/>
      <c r="J121" s="238"/>
      <c r="K121" s="26">
        <f t="shared" si="1"/>
        <v>4.0000000000000001E-3</v>
      </c>
      <c r="M121" s="179"/>
      <c r="N121" s="179"/>
      <c r="O121" s="179"/>
      <c r="P121" s="179"/>
      <c r="Q121" s="179"/>
      <c r="R121" s="179"/>
      <c r="S121" s="179"/>
      <c r="T121" s="179"/>
    </row>
    <row r="122" spans="1:20" ht="17.25" customHeight="1" x14ac:dyDescent="0.25">
      <c r="A122" s="167" t="s">
        <v>171</v>
      </c>
      <c r="B122" s="167"/>
      <c r="C122" s="167"/>
      <c r="D122" s="167"/>
      <c r="E122" s="167"/>
      <c r="F122" s="5">
        <v>1.43E-2</v>
      </c>
      <c r="G122" s="54">
        <v>20</v>
      </c>
      <c r="H122" s="238">
        <f>255/365</f>
        <v>0.69863013698630139</v>
      </c>
      <c r="I122" s="238"/>
      <c r="J122" s="238"/>
      <c r="K122" s="26">
        <f t="shared" si="1"/>
        <v>0.19980000000000001</v>
      </c>
      <c r="M122" s="179"/>
      <c r="N122" s="179"/>
      <c r="O122" s="179"/>
      <c r="P122" s="179"/>
      <c r="Q122" s="179"/>
      <c r="R122" s="179"/>
      <c r="S122" s="179"/>
      <c r="T122" s="179"/>
    </row>
    <row r="123" spans="1:20" ht="17.25" customHeight="1" x14ac:dyDescent="0.25">
      <c r="A123" s="167" t="s">
        <v>172</v>
      </c>
      <c r="B123" s="167"/>
      <c r="C123" s="167"/>
      <c r="D123" s="167"/>
      <c r="E123" s="167"/>
      <c r="F123" s="5">
        <v>1.9699999999999999E-2</v>
      </c>
      <c r="G123" s="54">
        <v>180</v>
      </c>
      <c r="H123" s="238">
        <f>255/365</f>
        <v>0.69863013698630139</v>
      </c>
      <c r="I123" s="238"/>
      <c r="J123" s="238"/>
      <c r="K123" s="26">
        <f t="shared" si="1"/>
        <v>2.4773000000000001</v>
      </c>
      <c r="M123" s="179"/>
      <c r="N123" s="179"/>
      <c r="O123" s="179"/>
      <c r="P123" s="179"/>
      <c r="Q123" s="179"/>
      <c r="R123" s="179"/>
      <c r="S123" s="179"/>
      <c r="T123" s="179"/>
    </row>
    <row r="124" spans="1:20" ht="17.25" customHeight="1" x14ac:dyDescent="0.25">
      <c r="A124" s="167" t="s">
        <v>173</v>
      </c>
      <c r="B124" s="167"/>
      <c r="C124" s="167"/>
      <c r="D124" s="167"/>
      <c r="E124" s="167"/>
      <c r="F124" s="5">
        <v>1.6000000000000001E-3</v>
      </c>
      <c r="G124" s="54">
        <v>6</v>
      </c>
      <c r="H124" s="238">
        <v>1</v>
      </c>
      <c r="I124" s="238"/>
      <c r="J124" s="238"/>
      <c r="K124" s="26">
        <f t="shared" si="1"/>
        <v>9.5999999999999992E-3</v>
      </c>
      <c r="M124" s="179"/>
      <c r="N124" s="179"/>
      <c r="O124" s="179"/>
      <c r="P124" s="179"/>
      <c r="Q124" s="179"/>
      <c r="R124" s="179"/>
      <c r="S124" s="179"/>
      <c r="T124" s="179"/>
    </row>
    <row r="125" spans="1:20" ht="17.25" customHeight="1" x14ac:dyDescent="0.25">
      <c r="A125" s="245" t="s">
        <v>174</v>
      </c>
      <c r="B125" s="245"/>
      <c r="C125" s="245"/>
      <c r="D125" s="245"/>
      <c r="E125" s="245"/>
      <c r="F125" s="245"/>
      <c r="G125" s="245"/>
      <c r="H125" s="245"/>
      <c r="I125" s="245"/>
      <c r="J125" s="245"/>
      <c r="K125" s="27">
        <f>ROUND(SUM(K113:K124),0)</f>
        <v>29</v>
      </c>
      <c r="M125" s="179"/>
      <c r="N125" s="179"/>
      <c r="O125" s="179"/>
      <c r="P125" s="179"/>
      <c r="Q125" s="179"/>
      <c r="R125" s="179"/>
      <c r="S125" s="179"/>
      <c r="T125" s="179"/>
    </row>
    <row r="126" spans="1:20" ht="17.25" customHeight="1" x14ac:dyDescent="0.25">
      <c r="A126" s="237" t="s">
        <v>60</v>
      </c>
      <c r="B126" s="237"/>
      <c r="C126" s="237"/>
      <c r="D126" s="237"/>
      <c r="E126" s="237"/>
      <c r="F126" s="237"/>
      <c r="G126" s="237"/>
      <c r="H126" s="237"/>
      <c r="I126" s="237"/>
      <c r="J126" s="237"/>
      <c r="K126" s="22">
        <f>K35</f>
        <v>1481.56</v>
      </c>
      <c r="M126" s="179"/>
      <c r="N126" s="179"/>
      <c r="O126" s="179"/>
      <c r="P126" s="179"/>
      <c r="Q126" s="179"/>
      <c r="R126" s="179"/>
      <c r="S126" s="179"/>
      <c r="T126" s="179"/>
    </row>
    <row r="127" spans="1:20" ht="17.25" customHeight="1" x14ac:dyDescent="0.25">
      <c r="A127" s="237" t="s">
        <v>108</v>
      </c>
      <c r="B127" s="237"/>
      <c r="C127" s="237"/>
      <c r="D127" s="237"/>
      <c r="E127" s="237"/>
      <c r="F127" s="237"/>
      <c r="G127" s="237"/>
      <c r="H127" s="237"/>
      <c r="I127" s="237"/>
      <c r="J127" s="237"/>
      <c r="K127" s="22">
        <f>K80</f>
        <v>1630.97</v>
      </c>
      <c r="M127" s="179"/>
      <c r="N127" s="179"/>
      <c r="O127" s="179"/>
      <c r="P127" s="179"/>
      <c r="Q127" s="179"/>
      <c r="R127" s="179"/>
      <c r="S127" s="179"/>
      <c r="T127" s="179"/>
    </row>
    <row r="128" spans="1:20" ht="17.25" customHeight="1" x14ac:dyDescent="0.25">
      <c r="A128" s="237" t="s">
        <v>109</v>
      </c>
      <c r="B128" s="237"/>
      <c r="C128" s="237"/>
      <c r="D128" s="237"/>
      <c r="E128" s="237"/>
      <c r="F128" s="237"/>
      <c r="G128" s="237"/>
      <c r="H128" s="237"/>
      <c r="I128" s="237"/>
      <c r="J128" s="237"/>
      <c r="K128" s="22">
        <f>K107</f>
        <v>165.09</v>
      </c>
      <c r="M128" s="179"/>
      <c r="N128" s="179"/>
      <c r="O128" s="179"/>
      <c r="P128" s="179"/>
      <c r="Q128" s="179"/>
      <c r="R128" s="179"/>
      <c r="S128" s="179"/>
      <c r="T128" s="179"/>
    </row>
    <row r="129" spans="1:20" ht="17.25" customHeight="1" x14ac:dyDescent="0.25">
      <c r="A129" s="237" t="s">
        <v>110</v>
      </c>
      <c r="B129" s="237"/>
      <c r="C129" s="237"/>
      <c r="D129" s="237"/>
      <c r="E129" s="237"/>
      <c r="F129" s="237"/>
      <c r="G129" s="237"/>
      <c r="H129" s="237"/>
      <c r="I129" s="237"/>
      <c r="J129" s="237"/>
      <c r="K129" s="22">
        <f>K126+K127+K128</f>
        <v>3277.62</v>
      </c>
      <c r="M129" s="179"/>
      <c r="N129" s="179"/>
      <c r="O129" s="179"/>
      <c r="P129" s="179"/>
      <c r="Q129" s="179"/>
      <c r="R129" s="179"/>
      <c r="S129" s="179"/>
      <c r="T129" s="179"/>
    </row>
    <row r="130" spans="1:20" ht="17.25" customHeight="1" x14ac:dyDescent="0.25">
      <c r="A130" s="237" t="s">
        <v>175</v>
      </c>
      <c r="B130" s="237"/>
      <c r="C130" s="237"/>
      <c r="D130" s="237"/>
      <c r="E130" s="237"/>
      <c r="F130" s="237"/>
      <c r="G130" s="237"/>
      <c r="H130" s="237"/>
      <c r="I130" s="237"/>
      <c r="J130" s="237"/>
      <c r="K130" s="28">
        <f>ROUND(K129/30,2)</f>
        <v>109.25</v>
      </c>
      <c r="M130" s="179"/>
      <c r="N130" s="179"/>
      <c r="O130" s="179"/>
      <c r="P130" s="179"/>
      <c r="Q130" s="179"/>
      <c r="R130" s="179"/>
      <c r="S130" s="179"/>
      <c r="T130" s="179"/>
    </row>
    <row r="131" spans="1:20" ht="17.25" customHeight="1" x14ac:dyDescent="0.25">
      <c r="A131" s="237" t="s">
        <v>176</v>
      </c>
      <c r="B131" s="237"/>
      <c r="C131" s="237"/>
      <c r="D131" s="237"/>
      <c r="E131" s="237"/>
      <c r="F131" s="237"/>
      <c r="G131" s="237"/>
      <c r="H131" s="237"/>
      <c r="I131" s="237"/>
      <c r="J131" s="237"/>
      <c r="K131" s="28">
        <f>ROUND(K130*K125,2)</f>
        <v>3168.25</v>
      </c>
      <c r="M131" s="179"/>
      <c r="N131" s="179"/>
      <c r="O131" s="179"/>
      <c r="P131" s="179"/>
      <c r="Q131" s="179"/>
      <c r="R131" s="179"/>
      <c r="S131" s="179"/>
      <c r="T131" s="179"/>
    </row>
    <row r="132" spans="1:20" ht="17.25" customHeight="1" x14ac:dyDescent="0.25">
      <c r="A132" s="237" t="s">
        <v>177</v>
      </c>
      <c r="B132" s="237"/>
      <c r="C132" s="237"/>
      <c r="D132" s="237"/>
      <c r="E132" s="237"/>
      <c r="F132" s="237"/>
      <c r="G132" s="237"/>
      <c r="H132" s="237"/>
      <c r="I132" s="237"/>
      <c r="J132" s="237"/>
      <c r="K132" s="28">
        <f>ROUND(K131/12,2)</f>
        <v>264.02</v>
      </c>
      <c r="M132" s="179"/>
      <c r="N132" s="179"/>
      <c r="O132" s="179"/>
      <c r="P132" s="179"/>
      <c r="Q132" s="179"/>
      <c r="R132" s="179"/>
      <c r="S132" s="179"/>
      <c r="T132" s="179"/>
    </row>
    <row r="133" spans="1:20" ht="17.25" customHeight="1" x14ac:dyDescent="0.25">
      <c r="A133" s="189" t="s">
        <v>111</v>
      </c>
      <c r="B133" s="189"/>
      <c r="C133" s="189"/>
      <c r="D133" s="189"/>
      <c r="E133" s="189"/>
      <c r="F133" s="189"/>
      <c r="G133" s="189"/>
      <c r="H133" s="189"/>
      <c r="I133" s="189"/>
      <c r="J133" s="189"/>
      <c r="K133" s="19">
        <f>K132</f>
        <v>264.02</v>
      </c>
      <c r="M133" s="179"/>
      <c r="N133" s="179"/>
      <c r="O133" s="179"/>
      <c r="P133" s="179"/>
      <c r="Q133" s="179"/>
      <c r="R133" s="179"/>
      <c r="S133" s="179"/>
      <c r="T133" s="179"/>
    </row>
    <row r="134" spans="1:20" s="130" customFormat="1" ht="5.25" customHeight="1" x14ac:dyDescent="0.25">
      <c r="A134" s="209"/>
      <c r="B134" s="209"/>
      <c r="C134" s="209"/>
      <c r="D134" s="209"/>
      <c r="E134" s="209"/>
      <c r="F134" s="209"/>
      <c r="G134" s="209"/>
      <c r="H134" s="209"/>
      <c r="I134" s="209"/>
      <c r="J134" s="209"/>
      <c r="K134" s="209"/>
      <c r="M134" s="127"/>
      <c r="N134" s="127"/>
      <c r="O134" s="127"/>
      <c r="P134" s="127"/>
      <c r="Q134" s="127"/>
      <c r="R134" s="127"/>
      <c r="S134" s="127"/>
      <c r="T134" s="127"/>
    </row>
    <row r="135" spans="1:20" ht="17.25" customHeight="1" x14ac:dyDescent="0.25">
      <c r="A135" s="212" t="s">
        <v>112</v>
      </c>
      <c r="B135" s="212"/>
      <c r="C135" s="212"/>
      <c r="D135" s="212"/>
      <c r="E135" s="212"/>
      <c r="F135" s="212"/>
      <c r="G135" s="212"/>
      <c r="H135" s="212"/>
      <c r="I135" s="212"/>
      <c r="J135" s="212"/>
      <c r="K135" s="212"/>
    </row>
    <row r="136" spans="1:20" ht="17.25" customHeight="1" x14ac:dyDescent="0.25">
      <c r="A136" s="201"/>
      <c r="B136" s="201"/>
      <c r="C136" s="201"/>
      <c r="D136" s="201"/>
      <c r="E136" s="201"/>
      <c r="F136" s="201"/>
      <c r="G136" s="201"/>
      <c r="H136" s="201"/>
      <c r="I136" s="201"/>
      <c r="J136" s="201"/>
      <c r="K136" s="53" t="s">
        <v>35</v>
      </c>
    </row>
    <row r="137" spans="1:20" ht="17.25" customHeight="1" x14ac:dyDescent="0.25">
      <c r="A137" s="54" t="s">
        <v>7</v>
      </c>
      <c r="B137" s="171" t="s">
        <v>113</v>
      </c>
      <c r="C137" s="171"/>
      <c r="D137" s="171"/>
      <c r="E137" s="171"/>
      <c r="F137" s="171"/>
      <c r="G137" s="171"/>
      <c r="H137" s="171"/>
      <c r="I137" s="171"/>
      <c r="J137" s="171"/>
      <c r="K137" s="52">
        <v>0</v>
      </c>
    </row>
    <row r="138" spans="1:20" ht="17.25" customHeight="1" x14ac:dyDescent="0.25">
      <c r="A138" s="189" t="s">
        <v>114</v>
      </c>
      <c r="B138" s="189"/>
      <c r="C138" s="189"/>
      <c r="D138" s="189"/>
      <c r="E138" s="189"/>
      <c r="F138" s="189"/>
      <c r="G138" s="189"/>
      <c r="H138" s="189"/>
      <c r="I138" s="189"/>
      <c r="J138" s="189"/>
      <c r="K138" s="19">
        <f>K137</f>
        <v>0</v>
      </c>
    </row>
    <row r="139" spans="1:20" ht="5.25" customHeight="1" x14ac:dyDescent="0.25">
      <c r="A139" s="167"/>
      <c r="B139" s="167"/>
      <c r="C139" s="167"/>
      <c r="D139" s="167"/>
      <c r="E139" s="167"/>
      <c r="F139" s="167"/>
      <c r="G139" s="167"/>
      <c r="H139" s="167"/>
      <c r="I139" s="167"/>
      <c r="J139" s="167"/>
      <c r="K139" s="167"/>
    </row>
    <row r="140" spans="1:20" ht="17.25" customHeight="1" x14ac:dyDescent="0.25">
      <c r="A140" s="172" t="s">
        <v>115</v>
      </c>
      <c r="B140" s="172"/>
      <c r="C140" s="172"/>
      <c r="D140" s="172"/>
      <c r="E140" s="172"/>
      <c r="F140" s="172"/>
      <c r="G140" s="172"/>
      <c r="H140" s="172"/>
      <c r="I140" s="172"/>
      <c r="J140" s="172"/>
      <c r="K140" s="17">
        <f>SUM(K133,K138)</f>
        <v>264.02</v>
      </c>
    </row>
    <row r="141" spans="1:20" ht="6.75" customHeight="1" x14ac:dyDescent="0.25">
      <c r="A141" s="165"/>
      <c r="B141" s="165"/>
      <c r="C141" s="165"/>
      <c r="D141" s="165"/>
      <c r="E141" s="165"/>
      <c r="F141" s="165"/>
      <c r="G141" s="165"/>
      <c r="H141" s="165"/>
      <c r="I141" s="165"/>
      <c r="J141" s="165"/>
      <c r="K141" s="165"/>
    </row>
    <row r="142" spans="1:20" ht="17.25" customHeight="1" x14ac:dyDescent="0.25">
      <c r="A142" s="172" t="s">
        <v>116</v>
      </c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</row>
    <row r="143" spans="1:20" ht="17.25" customHeight="1" x14ac:dyDescent="0.25">
      <c r="A143" s="54" t="s">
        <v>7</v>
      </c>
      <c r="B143" s="171" t="s">
        <v>117</v>
      </c>
      <c r="C143" s="171"/>
      <c r="D143" s="171"/>
      <c r="E143" s="171"/>
      <c r="F143" s="171"/>
      <c r="G143" s="171"/>
      <c r="H143" s="171"/>
      <c r="I143" s="171"/>
      <c r="J143" s="171"/>
      <c r="K143" s="59">
        <f>UNIFORMES!F11</f>
        <v>81.304999999999993</v>
      </c>
    </row>
    <row r="144" spans="1:20" ht="17.25" customHeight="1" x14ac:dyDescent="0.25">
      <c r="A144" s="54" t="s">
        <v>9</v>
      </c>
      <c r="B144" s="171" t="s">
        <v>118</v>
      </c>
      <c r="C144" s="171"/>
      <c r="D144" s="171"/>
      <c r="E144" s="171"/>
      <c r="F144" s="171"/>
      <c r="G144" s="171"/>
      <c r="H144" s="171"/>
      <c r="I144" s="171"/>
      <c r="J144" s="171"/>
      <c r="K144" s="59">
        <f>INSUMOS!L21+INSUMOS!L51</f>
        <v>411.90588500000001</v>
      </c>
    </row>
    <row r="145" spans="1:20" ht="17.25" customHeight="1" x14ac:dyDescent="0.25">
      <c r="A145" s="54" t="s">
        <v>11</v>
      </c>
      <c r="B145" s="185" t="s">
        <v>49</v>
      </c>
      <c r="C145" s="185"/>
      <c r="D145" s="185"/>
      <c r="E145" s="185"/>
      <c r="F145" s="185"/>
      <c r="G145" s="185"/>
      <c r="H145" s="185"/>
      <c r="I145" s="185"/>
      <c r="J145" s="185"/>
      <c r="K145" s="59"/>
      <c r="M145" s="132"/>
      <c r="N145" s="132"/>
      <c r="O145" s="133"/>
      <c r="P145" s="133"/>
    </row>
    <row r="146" spans="1:20" ht="17.25" customHeight="1" x14ac:dyDescent="0.25">
      <c r="A146" s="172" t="s">
        <v>119</v>
      </c>
      <c r="B146" s="172"/>
      <c r="C146" s="172"/>
      <c r="D146" s="172"/>
      <c r="E146" s="172"/>
      <c r="F146" s="172"/>
      <c r="G146" s="172"/>
      <c r="H146" s="172"/>
      <c r="I146" s="172"/>
      <c r="J146" s="172"/>
      <c r="K146" s="29">
        <f>SUM(K143:K145)</f>
        <v>493.21088500000002</v>
      </c>
      <c r="M146" s="133"/>
      <c r="N146" s="133"/>
      <c r="O146" s="133"/>
      <c r="P146" s="133"/>
    </row>
    <row r="147" spans="1:20" s="134" customFormat="1" ht="17.25" customHeight="1" x14ac:dyDescent="0.25">
      <c r="A147" s="246"/>
      <c r="B147" s="246"/>
      <c r="C147" s="246"/>
      <c r="D147" s="246"/>
      <c r="E147" s="246"/>
      <c r="F147" s="246"/>
      <c r="G147" s="246"/>
      <c r="H147" s="246"/>
      <c r="I147" s="246"/>
      <c r="J147" s="246"/>
      <c r="K147" s="246"/>
      <c r="M147" s="127"/>
      <c r="N147" s="127"/>
      <c r="O147" s="127"/>
      <c r="P147" s="127"/>
      <c r="Q147" s="127"/>
      <c r="R147" s="127"/>
      <c r="S147" s="127"/>
      <c r="T147" s="127"/>
    </row>
    <row r="148" spans="1:20" ht="17.25" customHeight="1" x14ac:dyDescent="0.25">
      <c r="A148" s="172" t="s">
        <v>120</v>
      </c>
      <c r="B148" s="172"/>
      <c r="C148" s="172"/>
      <c r="D148" s="172"/>
      <c r="E148" s="172"/>
      <c r="F148" s="172"/>
      <c r="G148" s="172"/>
      <c r="H148" s="172"/>
      <c r="I148" s="172"/>
      <c r="J148" s="172"/>
      <c r="K148" s="17">
        <f>SUM(K35,K80,K107,K140,K146)</f>
        <v>4034.8508849999998</v>
      </c>
      <c r="M148" s="135"/>
    </row>
    <row r="149" spans="1:20" s="134" customFormat="1" ht="17.25" customHeight="1" x14ac:dyDescent="0.25">
      <c r="A149" s="246"/>
      <c r="B149" s="246"/>
      <c r="C149" s="246"/>
      <c r="D149" s="246"/>
      <c r="E149" s="246"/>
      <c r="F149" s="246"/>
      <c r="G149" s="246"/>
      <c r="H149" s="246"/>
      <c r="I149" s="246"/>
      <c r="J149" s="246"/>
      <c r="K149" s="246"/>
      <c r="M149" s="127"/>
      <c r="N149" s="127"/>
      <c r="O149" s="127"/>
      <c r="P149" s="127"/>
      <c r="Q149" s="127"/>
      <c r="R149" s="127"/>
      <c r="S149" s="127"/>
      <c r="T149" s="127"/>
    </row>
    <row r="150" spans="1:20" ht="6.75" customHeight="1" x14ac:dyDescent="0.25">
      <c r="A150" s="165"/>
      <c r="B150" s="165"/>
      <c r="C150" s="165"/>
      <c r="D150" s="165"/>
      <c r="E150" s="165"/>
      <c r="F150" s="165"/>
      <c r="G150" s="165"/>
      <c r="H150" s="165"/>
      <c r="I150" s="165"/>
      <c r="J150" s="165"/>
      <c r="K150" s="165"/>
    </row>
    <row r="151" spans="1:20" ht="17.25" customHeight="1" x14ac:dyDescent="0.25">
      <c r="A151" s="172" t="s">
        <v>121</v>
      </c>
      <c r="B151" s="172"/>
      <c r="C151" s="172"/>
      <c r="D151" s="172"/>
      <c r="E151" s="172"/>
      <c r="F151" s="172"/>
      <c r="G151" s="172"/>
      <c r="H151" s="172"/>
      <c r="I151" s="172"/>
      <c r="J151" s="172"/>
      <c r="K151" s="172"/>
    </row>
    <row r="152" spans="1:20" ht="17.25" customHeight="1" x14ac:dyDescent="0.25">
      <c r="A152" s="201"/>
      <c r="B152" s="201"/>
      <c r="C152" s="201"/>
      <c r="D152" s="201"/>
      <c r="E152" s="201"/>
      <c r="F152" s="201"/>
      <c r="G152" s="172" t="s">
        <v>53</v>
      </c>
      <c r="H152" s="172"/>
      <c r="I152" s="247" t="s">
        <v>122</v>
      </c>
      <c r="J152" s="247"/>
      <c r="K152" s="53" t="s">
        <v>35</v>
      </c>
    </row>
    <row r="153" spans="1:20" ht="17.25" customHeight="1" x14ac:dyDescent="0.25">
      <c r="A153" s="54" t="s">
        <v>7</v>
      </c>
      <c r="B153" s="171" t="s">
        <v>123</v>
      </c>
      <c r="C153" s="171"/>
      <c r="D153" s="171"/>
      <c r="E153" s="171"/>
      <c r="F153" s="171"/>
      <c r="G153" s="192">
        <v>5.8099999999999999E-2</v>
      </c>
      <c r="H153" s="192"/>
      <c r="I153" s="202">
        <f>K148</f>
        <v>4034.8508849999998</v>
      </c>
      <c r="J153" s="202"/>
      <c r="K153" s="52">
        <f>ROUND(I153*G153,2)</f>
        <v>234.42</v>
      </c>
      <c r="M153" s="252" t="s">
        <v>222</v>
      </c>
      <c r="N153" s="253"/>
      <c r="O153" s="253"/>
      <c r="P153" s="253"/>
      <c r="Q153" s="253"/>
      <c r="R153" s="253"/>
      <c r="S153" s="253"/>
      <c r="T153" s="254"/>
    </row>
    <row r="154" spans="1:20" ht="17.25" customHeight="1" x14ac:dyDescent="0.25">
      <c r="A154" s="54" t="s">
        <v>9</v>
      </c>
      <c r="B154" s="171" t="s">
        <v>124</v>
      </c>
      <c r="C154" s="171"/>
      <c r="D154" s="171"/>
      <c r="E154" s="171"/>
      <c r="F154" s="171"/>
      <c r="G154" s="192">
        <v>7.1999999999999995E-2</v>
      </c>
      <c r="H154" s="192"/>
      <c r="I154" s="202">
        <f>I153+K153</f>
        <v>4269.2708849999999</v>
      </c>
      <c r="J154" s="202"/>
      <c r="K154" s="52">
        <f>ROUND(I154*G154,2)</f>
        <v>307.39</v>
      </c>
      <c r="M154" s="255"/>
      <c r="N154" s="256"/>
      <c r="O154" s="256"/>
      <c r="P154" s="256"/>
      <c r="Q154" s="256"/>
      <c r="R154" s="256"/>
      <c r="S154" s="256"/>
      <c r="T154" s="257"/>
    </row>
    <row r="155" spans="1:20" ht="17.25" customHeight="1" x14ac:dyDescent="0.25">
      <c r="A155" s="167" t="s">
        <v>11</v>
      </c>
      <c r="B155" s="167" t="s">
        <v>125</v>
      </c>
      <c r="C155" s="167"/>
      <c r="D155" s="167" t="s">
        <v>126</v>
      </c>
      <c r="E155" s="167"/>
      <c r="F155" s="54" t="s">
        <v>127</v>
      </c>
      <c r="G155" s="192">
        <v>6.4999999999999997E-3</v>
      </c>
      <c r="H155" s="192"/>
      <c r="I155" s="202">
        <f>I154+K154</f>
        <v>4576.6608850000002</v>
      </c>
      <c r="J155" s="202"/>
      <c r="K155" s="52">
        <f>ROUND(($I$155/(1-$G$162)*G155),2)</f>
        <v>32.57</v>
      </c>
      <c r="M155" s="248" t="s">
        <v>128</v>
      </c>
      <c r="N155" s="248"/>
      <c r="O155" s="248"/>
      <c r="P155" s="248"/>
      <c r="Q155" s="248"/>
      <c r="R155" s="248"/>
      <c r="S155" s="248"/>
      <c r="T155" s="248"/>
    </row>
    <row r="156" spans="1:20" ht="17.25" customHeight="1" x14ac:dyDescent="0.25">
      <c r="A156" s="167"/>
      <c r="B156" s="167"/>
      <c r="C156" s="167"/>
      <c r="D156" s="167"/>
      <c r="E156" s="167"/>
      <c r="F156" s="54" t="s">
        <v>129</v>
      </c>
      <c r="G156" s="192">
        <v>0.03</v>
      </c>
      <c r="H156" s="192"/>
      <c r="I156" s="202"/>
      <c r="J156" s="202"/>
      <c r="K156" s="52">
        <f>ROUND(($I$155/(1-$G$162)*G156),2)</f>
        <v>150.30000000000001</v>
      </c>
      <c r="M156" s="249" t="s">
        <v>130</v>
      </c>
      <c r="N156" s="250"/>
      <c r="O156" s="250"/>
      <c r="P156" s="250"/>
      <c r="Q156" s="250"/>
      <c r="R156" s="250"/>
      <c r="S156" s="250"/>
      <c r="T156" s="251"/>
    </row>
    <row r="157" spans="1:20" ht="17.25" customHeight="1" x14ac:dyDescent="0.25">
      <c r="A157" s="167"/>
      <c r="B157" s="167"/>
      <c r="C157" s="167"/>
      <c r="D157" s="167"/>
      <c r="E157" s="167"/>
      <c r="F157" s="56" t="s">
        <v>131</v>
      </c>
      <c r="G157" s="192"/>
      <c r="H157" s="192"/>
      <c r="I157" s="202"/>
      <c r="J157" s="202"/>
      <c r="K157" s="52">
        <f>ROUND(($I$155/(1-$G$162)*G157),2)</f>
        <v>0</v>
      </c>
      <c r="M157" s="249" t="s">
        <v>132</v>
      </c>
      <c r="N157" s="250"/>
      <c r="O157" s="250"/>
      <c r="P157" s="250"/>
      <c r="Q157" s="250"/>
      <c r="R157" s="250"/>
      <c r="S157" s="250"/>
      <c r="T157" s="251"/>
    </row>
    <row r="158" spans="1:20" ht="17.25" customHeight="1" x14ac:dyDescent="0.25">
      <c r="A158" s="167"/>
      <c r="B158" s="167"/>
      <c r="C158" s="167"/>
      <c r="D158" s="167" t="s">
        <v>133</v>
      </c>
      <c r="E158" s="167"/>
      <c r="F158" s="54" t="s">
        <v>134</v>
      </c>
      <c r="G158" s="192">
        <v>0.05</v>
      </c>
      <c r="H158" s="192"/>
      <c r="I158" s="202"/>
      <c r="J158" s="202"/>
      <c r="K158" s="202">
        <f>ROUND(($I$155/(1-$G$162)*G158),2)</f>
        <v>250.5</v>
      </c>
    </row>
    <row r="159" spans="1:20" ht="17.25" customHeight="1" x14ac:dyDescent="0.25">
      <c r="A159" s="167"/>
      <c r="B159" s="167"/>
      <c r="C159" s="167"/>
      <c r="D159" s="167"/>
      <c r="E159" s="167"/>
      <c r="F159" s="30" t="str">
        <f>K11</f>
        <v>Presidente Prudente / SP</v>
      </c>
      <c r="G159" s="192"/>
      <c r="H159" s="192"/>
      <c r="I159" s="202"/>
      <c r="J159" s="202"/>
      <c r="K159" s="202"/>
    </row>
    <row r="160" spans="1:20" ht="17.25" customHeight="1" x14ac:dyDescent="0.25">
      <c r="A160" s="167"/>
      <c r="B160" s="167"/>
      <c r="C160" s="167"/>
      <c r="D160" s="167"/>
      <c r="E160" s="167"/>
      <c r="F160" s="56" t="s">
        <v>131</v>
      </c>
      <c r="G160" s="192"/>
      <c r="H160" s="192"/>
      <c r="I160" s="202"/>
      <c r="J160" s="202"/>
      <c r="K160" s="52">
        <f>ROUND(($I$155/(1-$G$162)*G160),2)</f>
        <v>0</v>
      </c>
    </row>
    <row r="161" spans="1:13" ht="17.25" customHeight="1" x14ac:dyDescent="0.25">
      <c r="A161" s="167"/>
      <c r="B161" s="167"/>
      <c r="C161" s="167"/>
      <c r="D161" s="211" t="s">
        <v>135</v>
      </c>
      <c r="E161" s="211"/>
      <c r="F161" s="56"/>
      <c r="G161" s="192"/>
      <c r="H161" s="192"/>
      <c r="I161" s="202"/>
      <c r="J161" s="202"/>
      <c r="K161" s="52">
        <f>ROUND(($I$155/(1-$G$162)*G161),2)</f>
        <v>0</v>
      </c>
    </row>
    <row r="162" spans="1:13" ht="17.25" customHeight="1" x14ac:dyDescent="0.25">
      <c r="A162" s="167"/>
      <c r="B162" s="212" t="s">
        <v>136</v>
      </c>
      <c r="C162" s="212"/>
      <c r="D162" s="212"/>
      <c r="E162" s="212"/>
      <c r="F162" s="212"/>
      <c r="G162" s="258">
        <f>SUM(G155:H161)</f>
        <v>8.6499999999999994E-2</v>
      </c>
      <c r="H162" s="258"/>
      <c r="I162" s="259"/>
      <c r="J162" s="259"/>
      <c r="K162" s="31"/>
      <c r="M162" s="136"/>
    </row>
    <row r="163" spans="1:13" ht="17.25" customHeight="1" x14ac:dyDescent="0.25">
      <c r="A163" s="172" t="s">
        <v>137</v>
      </c>
      <c r="B163" s="172"/>
      <c r="C163" s="172"/>
      <c r="D163" s="172"/>
      <c r="E163" s="172"/>
      <c r="F163" s="172"/>
      <c r="G163" s="172"/>
      <c r="H163" s="172"/>
      <c r="I163" s="260">
        <f>((1+G153)*(1+G154))/(1-G162)-1</f>
        <v>0.24168932676518895</v>
      </c>
      <c r="J163" s="260"/>
      <c r="K163" s="17">
        <f>ROUND(SUM(K153:K161),2)</f>
        <v>975.18</v>
      </c>
    </row>
    <row r="164" spans="1:13" ht="6" customHeight="1" x14ac:dyDescent="0.25">
      <c r="A164" s="167"/>
      <c r="B164" s="167"/>
      <c r="C164" s="167"/>
      <c r="D164" s="167"/>
      <c r="E164" s="167"/>
      <c r="F164" s="167"/>
      <c r="G164" s="167"/>
      <c r="H164" s="167"/>
      <c r="I164" s="167"/>
      <c r="J164" s="167"/>
      <c r="K164" s="167"/>
    </row>
    <row r="165" spans="1:13" ht="19.5" customHeight="1" x14ac:dyDescent="0.25">
      <c r="A165" s="261" t="s">
        <v>138</v>
      </c>
      <c r="B165" s="261"/>
      <c r="C165" s="261"/>
      <c r="D165" s="261"/>
      <c r="E165" s="261"/>
      <c r="F165" s="261"/>
      <c r="G165" s="261"/>
      <c r="H165" s="261"/>
      <c r="I165" s="261"/>
      <c r="J165" s="261"/>
      <c r="K165" s="55" t="s">
        <v>35</v>
      </c>
    </row>
    <row r="166" spans="1:13" ht="17.25" customHeight="1" x14ac:dyDescent="0.25">
      <c r="A166" s="54" t="s">
        <v>7</v>
      </c>
      <c r="B166" s="171" t="s">
        <v>60</v>
      </c>
      <c r="C166" s="171"/>
      <c r="D166" s="171"/>
      <c r="E166" s="171"/>
      <c r="F166" s="171"/>
      <c r="G166" s="171"/>
      <c r="H166" s="171"/>
      <c r="I166" s="171"/>
      <c r="J166" s="171"/>
      <c r="K166" s="52">
        <f>K35</f>
        <v>1481.56</v>
      </c>
    </row>
    <row r="167" spans="1:13" ht="17.25" customHeight="1" x14ac:dyDescent="0.25">
      <c r="A167" s="54" t="s">
        <v>9</v>
      </c>
      <c r="B167" s="171" t="s">
        <v>108</v>
      </c>
      <c r="C167" s="171"/>
      <c r="D167" s="171"/>
      <c r="E167" s="171"/>
      <c r="F167" s="171"/>
      <c r="G167" s="171"/>
      <c r="H167" s="171"/>
      <c r="I167" s="171"/>
      <c r="J167" s="171"/>
      <c r="K167" s="52">
        <f>K80</f>
        <v>1630.97</v>
      </c>
    </row>
    <row r="168" spans="1:13" ht="17.25" customHeight="1" x14ac:dyDescent="0.25">
      <c r="A168" s="54" t="s">
        <v>11</v>
      </c>
      <c r="B168" s="171" t="s">
        <v>109</v>
      </c>
      <c r="C168" s="171"/>
      <c r="D168" s="171"/>
      <c r="E168" s="171"/>
      <c r="F168" s="171"/>
      <c r="G168" s="171"/>
      <c r="H168" s="171"/>
      <c r="I168" s="171"/>
      <c r="J168" s="171"/>
      <c r="K168" s="52">
        <f>K107</f>
        <v>165.09</v>
      </c>
    </row>
    <row r="169" spans="1:13" ht="17.25" customHeight="1" x14ac:dyDescent="0.25">
      <c r="A169" s="54" t="s">
        <v>14</v>
      </c>
      <c r="B169" s="171" t="s">
        <v>139</v>
      </c>
      <c r="C169" s="171"/>
      <c r="D169" s="171"/>
      <c r="E169" s="171"/>
      <c r="F169" s="171"/>
      <c r="G169" s="171"/>
      <c r="H169" s="171"/>
      <c r="I169" s="171"/>
      <c r="J169" s="171"/>
      <c r="K169" s="52">
        <f>K140</f>
        <v>264.02</v>
      </c>
    </row>
    <row r="170" spans="1:13" ht="17.25" customHeight="1" x14ac:dyDescent="0.25">
      <c r="A170" s="54" t="s">
        <v>16</v>
      </c>
      <c r="B170" s="171" t="s">
        <v>140</v>
      </c>
      <c r="C170" s="171"/>
      <c r="D170" s="171"/>
      <c r="E170" s="171"/>
      <c r="F170" s="171"/>
      <c r="G170" s="171"/>
      <c r="H170" s="171"/>
      <c r="I170" s="171"/>
      <c r="J170" s="171"/>
      <c r="K170" s="52">
        <f>K146</f>
        <v>493.21088500000002</v>
      </c>
    </row>
    <row r="171" spans="1:13" ht="17.25" customHeight="1" x14ac:dyDescent="0.25">
      <c r="A171" s="54" t="s">
        <v>18</v>
      </c>
      <c r="B171" s="171" t="s">
        <v>141</v>
      </c>
      <c r="C171" s="171"/>
      <c r="D171" s="171"/>
      <c r="E171" s="171"/>
      <c r="F171" s="171"/>
      <c r="G171" s="171"/>
      <c r="H171" s="171"/>
      <c r="I171" s="171"/>
      <c r="J171" s="171"/>
      <c r="K171" s="52">
        <f>K163</f>
        <v>975.18</v>
      </c>
      <c r="M171" s="133"/>
    </row>
    <row r="172" spans="1:13" ht="18" customHeight="1" x14ac:dyDescent="0.25">
      <c r="A172" s="261" t="s">
        <v>142</v>
      </c>
      <c r="B172" s="261"/>
      <c r="C172" s="261"/>
      <c r="D172" s="261"/>
      <c r="E172" s="261"/>
      <c r="F172" s="261"/>
      <c r="G172" s="261"/>
      <c r="H172" s="261"/>
      <c r="I172" s="261"/>
      <c r="J172" s="261"/>
      <c r="K172" s="32">
        <f>ROUND(SUM(K166:K171),2)</f>
        <v>5010.03</v>
      </c>
    </row>
    <row r="173" spans="1:13" ht="6" customHeight="1" x14ac:dyDescent="0.25">
      <c r="A173" s="262"/>
      <c r="B173" s="262"/>
      <c r="C173" s="262"/>
      <c r="D173" s="262"/>
      <c r="E173" s="262"/>
      <c r="F173" s="262"/>
      <c r="G173" s="262"/>
      <c r="H173" s="262"/>
      <c r="I173" s="262"/>
      <c r="J173" s="262"/>
      <c r="K173" s="262"/>
    </row>
    <row r="174" spans="1:13" ht="6" customHeight="1" x14ac:dyDescent="0.25">
      <c r="A174" s="137"/>
      <c r="B174" s="137"/>
      <c r="C174" s="137"/>
      <c r="D174" s="137"/>
      <c r="E174" s="137"/>
      <c r="F174" s="137"/>
      <c r="G174" s="137"/>
      <c r="H174" s="137"/>
      <c r="I174" s="137"/>
      <c r="J174" s="137"/>
      <c r="K174" s="137"/>
    </row>
    <row r="175" spans="1:13" ht="6" customHeight="1" x14ac:dyDescent="0.25">
      <c r="A175" s="137"/>
      <c r="B175" s="137"/>
      <c r="C175" s="137"/>
      <c r="D175" s="137"/>
      <c r="E175" s="137"/>
      <c r="F175" s="137"/>
      <c r="G175" s="137"/>
      <c r="H175" s="137"/>
      <c r="I175" s="137"/>
      <c r="J175" s="137"/>
      <c r="K175" s="137"/>
    </row>
    <row r="177" spans="1:11" x14ac:dyDescent="0.25">
      <c r="A177" s="263" t="s">
        <v>178</v>
      </c>
      <c r="B177" s="263"/>
      <c r="C177" s="263"/>
      <c r="D177" s="263"/>
      <c r="E177" s="263"/>
      <c r="F177" s="263"/>
      <c r="G177" s="263"/>
      <c r="H177" s="263"/>
      <c r="I177" s="263"/>
      <c r="J177" s="263"/>
      <c r="K177" s="263"/>
    </row>
  </sheetData>
  <mergeCells count="271">
    <mergeCell ref="A5:C5"/>
    <mergeCell ref="D5:K5"/>
    <mergeCell ref="A6:C6"/>
    <mergeCell ref="D6:K6"/>
    <mergeCell ref="A7:K7"/>
    <mergeCell ref="A8:K8"/>
    <mergeCell ref="A1:K1"/>
    <mergeCell ref="A2:K2"/>
    <mergeCell ref="A3:C3"/>
    <mergeCell ref="D3:K3"/>
    <mergeCell ref="A4:C4"/>
    <mergeCell ref="D4:K4"/>
    <mergeCell ref="B15:J15"/>
    <mergeCell ref="B16:J16"/>
    <mergeCell ref="B17:J17"/>
    <mergeCell ref="B18:J18"/>
    <mergeCell ref="B19:J19"/>
    <mergeCell ref="B20:J20"/>
    <mergeCell ref="A9:K9"/>
    <mergeCell ref="B10:J10"/>
    <mergeCell ref="B11:J11"/>
    <mergeCell ref="B12:J12"/>
    <mergeCell ref="B13:J13"/>
    <mergeCell ref="B14:J14"/>
    <mergeCell ref="M26:T26"/>
    <mergeCell ref="B27:G27"/>
    <mergeCell ref="I27:J27"/>
    <mergeCell ref="B28:G28"/>
    <mergeCell ref="I28:J28"/>
    <mergeCell ref="B29:G29"/>
    <mergeCell ref="I29:J29"/>
    <mergeCell ref="B21:J21"/>
    <mergeCell ref="B22:J22"/>
    <mergeCell ref="A23:K23"/>
    <mergeCell ref="A24:K24"/>
    <mergeCell ref="A25:J25"/>
    <mergeCell ref="B26:G26"/>
    <mergeCell ref="I26:J26"/>
    <mergeCell ref="K31:K33"/>
    <mergeCell ref="M31:T33"/>
    <mergeCell ref="I33:J33"/>
    <mergeCell ref="B34:J34"/>
    <mergeCell ref="A35:J35"/>
    <mergeCell ref="A36:K36"/>
    <mergeCell ref="B30:G30"/>
    <mergeCell ref="I30:J30"/>
    <mergeCell ref="A31:A33"/>
    <mergeCell ref="B31:F33"/>
    <mergeCell ref="G31:G32"/>
    <mergeCell ref="H31:H32"/>
    <mergeCell ref="I31:J32"/>
    <mergeCell ref="M40:T42"/>
    <mergeCell ref="B41:H41"/>
    <mergeCell ref="I41:J41"/>
    <mergeCell ref="B42:H42"/>
    <mergeCell ref="I42:J42"/>
    <mergeCell ref="A43:H43"/>
    <mergeCell ref="I43:J43"/>
    <mergeCell ref="A37:K37"/>
    <mergeCell ref="A38:K38"/>
    <mergeCell ref="A39:H39"/>
    <mergeCell ref="I39:J39"/>
    <mergeCell ref="B40:H40"/>
    <mergeCell ref="I40:J40"/>
    <mergeCell ref="B50:H50"/>
    <mergeCell ref="I50:J50"/>
    <mergeCell ref="B51:H51"/>
    <mergeCell ref="I51:J51"/>
    <mergeCell ref="A52:A53"/>
    <mergeCell ref="B52:F53"/>
    <mergeCell ref="I52:J53"/>
    <mergeCell ref="A44:K44"/>
    <mergeCell ref="A45:K45"/>
    <mergeCell ref="A46:J46"/>
    <mergeCell ref="A47:J47"/>
    <mergeCell ref="A48:J48"/>
    <mergeCell ref="A49:H49"/>
    <mergeCell ref="I49:J49"/>
    <mergeCell ref="M61:T62"/>
    <mergeCell ref="A62:J62"/>
    <mergeCell ref="B56:H56"/>
    <mergeCell ref="I56:J56"/>
    <mergeCell ref="B57:H57"/>
    <mergeCell ref="I57:J57"/>
    <mergeCell ref="B58:H58"/>
    <mergeCell ref="I58:J58"/>
    <mergeCell ref="K52:K53"/>
    <mergeCell ref="M52:T53"/>
    <mergeCell ref="B54:H54"/>
    <mergeCell ref="I54:J54"/>
    <mergeCell ref="B55:H55"/>
    <mergeCell ref="I55:J55"/>
    <mergeCell ref="A63:A65"/>
    <mergeCell ref="B63:F63"/>
    <mergeCell ref="G63:J63"/>
    <mergeCell ref="K63:K65"/>
    <mergeCell ref="B64:D64"/>
    <mergeCell ref="G64:J64"/>
    <mergeCell ref="B65:D65"/>
    <mergeCell ref="G65:J65"/>
    <mergeCell ref="A59:H59"/>
    <mergeCell ref="I59:J59"/>
    <mergeCell ref="A60:K60"/>
    <mergeCell ref="A61:K61"/>
    <mergeCell ref="A69:A71"/>
    <mergeCell ref="B69:F69"/>
    <mergeCell ref="G69:J69"/>
    <mergeCell ref="K69:K71"/>
    <mergeCell ref="B70:F70"/>
    <mergeCell ref="G70:J70"/>
    <mergeCell ref="B71:F71"/>
    <mergeCell ref="G71:J71"/>
    <mergeCell ref="A66:A68"/>
    <mergeCell ref="B66:F66"/>
    <mergeCell ref="G66:J66"/>
    <mergeCell ref="K66:K68"/>
    <mergeCell ref="B67:D67"/>
    <mergeCell ref="E67:F67"/>
    <mergeCell ref="G67:J67"/>
    <mergeCell ref="B68:D68"/>
    <mergeCell ref="E68:F68"/>
    <mergeCell ref="G68:J68"/>
    <mergeCell ref="A72:A74"/>
    <mergeCell ref="B72:F72"/>
    <mergeCell ref="G72:J72"/>
    <mergeCell ref="K72:K74"/>
    <mergeCell ref="B73:F73"/>
    <mergeCell ref="G73:J73"/>
    <mergeCell ref="B74:F74"/>
    <mergeCell ref="G74:J74"/>
    <mergeCell ref="A75:A77"/>
    <mergeCell ref="B75:F75"/>
    <mergeCell ref="G75:J75"/>
    <mergeCell ref="K75:K77"/>
    <mergeCell ref="B76:F76"/>
    <mergeCell ref="G76:J76"/>
    <mergeCell ref="B77:F77"/>
    <mergeCell ref="G77:J77"/>
    <mergeCell ref="M82:T133"/>
    <mergeCell ref="A83:K83"/>
    <mergeCell ref="A84:J84"/>
    <mergeCell ref="A85:J85"/>
    <mergeCell ref="A86:J86"/>
    <mergeCell ref="A87:J87"/>
    <mergeCell ref="A88:J88"/>
    <mergeCell ref="A89:J89"/>
    <mergeCell ref="A90:J90"/>
    <mergeCell ref="A91:J91"/>
    <mergeCell ref="A92:G93"/>
    <mergeCell ref="H92:J92"/>
    <mergeCell ref="H93:J93"/>
    <mergeCell ref="A104:G105"/>
    <mergeCell ref="H104:J104"/>
    <mergeCell ref="H105:J105"/>
    <mergeCell ref="A112:E112"/>
    <mergeCell ref="H112:J112"/>
    <mergeCell ref="A113:E113"/>
    <mergeCell ref="H113:J113"/>
    <mergeCell ref="A114:E114"/>
    <mergeCell ref="H114:J114"/>
    <mergeCell ref="A106:J106"/>
    <mergeCell ref="A107:J107"/>
    <mergeCell ref="B78:J78"/>
    <mergeCell ref="A79:J79"/>
    <mergeCell ref="A80:J80"/>
    <mergeCell ref="A81:K81"/>
    <mergeCell ref="A82:K82"/>
    <mergeCell ref="A100:J100"/>
    <mergeCell ref="A101:K101"/>
    <mergeCell ref="A102:J102"/>
    <mergeCell ref="A103:J103"/>
    <mergeCell ref="A94:J94"/>
    <mergeCell ref="A95:K95"/>
    <mergeCell ref="A96:J96"/>
    <mergeCell ref="A97:J97"/>
    <mergeCell ref="A98:G99"/>
    <mergeCell ref="H98:J98"/>
    <mergeCell ref="H99:J99"/>
    <mergeCell ref="A108:K108"/>
    <mergeCell ref="A109:K109"/>
    <mergeCell ref="A110:K110"/>
    <mergeCell ref="A111:K111"/>
    <mergeCell ref="A118:E118"/>
    <mergeCell ref="H118:J118"/>
    <mergeCell ref="A119:E119"/>
    <mergeCell ref="H119:J119"/>
    <mergeCell ref="A120:E120"/>
    <mergeCell ref="H120:J120"/>
    <mergeCell ref="A115:E115"/>
    <mergeCell ref="H115:J115"/>
    <mergeCell ref="A116:E116"/>
    <mergeCell ref="H116:J116"/>
    <mergeCell ref="A117:E117"/>
    <mergeCell ref="H117:J117"/>
    <mergeCell ref="A124:E124"/>
    <mergeCell ref="H124:J124"/>
    <mergeCell ref="A125:J125"/>
    <mergeCell ref="A126:J126"/>
    <mergeCell ref="A127:J127"/>
    <mergeCell ref="A128:J128"/>
    <mergeCell ref="A121:E121"/>
    <mergeCell ref="H121:J121"/>
    <mergeCell ref="A122:E122"/>
    <mergeCell ref="H122:J122"/>
    <mergeCell ref="A123:E123"/>
    <mergeCell ref="H123:J123"/>
    <mergeCell ref="A135:K135"/>
    <mergeCell ref="A136:J136"/>
    <mergeCell ref="B137:J137"/>
    <mergeCell ref="A138:J138"/>
    <mergeCell ref="A139:K139"/>
    <mergeCell ref="A140:J140"/>
    <mergeCell ref="A129:J129"/>
    <mergeCell ref="A130:J130"/>
    <mergeCell ref="A131:J131"/>
    <mergeCell ref="A132:J132"/>
    <mergeCell ref="A133:J133"/>
    <mergeCell ref="A134:K134"/>
    <mergeCell ref="A147:K147"/>
    <mergeCell ref="A148:J148"/>
    <mergeCell ref="A149:K149"/>
    <mergeCell ref="A150:K150"/>
    <mergeCell ref="A151:K151"/>
    <mergeCell ref="A152:F152"/>
    <mergeCell ref="G152:H152"/>
    <mergeCell ref="I152:J152"/>
    <mergeCell ref="A141:K141"/>
    <mergeCell ref="A142:K142"/>
    <mergeCell ref="B143:J143"/>
    <mergeCell ref="B144:J144"/>
    <mergeCell ref="B145:J145"/>
    <mergeCell ref="A146:J146"/>
    <mergeCell ref="M155:T155"/>
    <mergeCell ref="G156:H156"/>
    <mergeCell ref="M156:T156"/>
    <mergeCell ref="G157:H157"/>
    <mergeCell ref="M157:T157"/>
    <mergeCell ref="B153:F153"/>
    <mergeCell ref="G153:H153"/>
    <mergeCell ref="I153:J153"/>
    <mergeCell ref="M153:T154"/>
    <mergeCell ref="B154:F154"/>
    <mergeCell ref="G154:H154"/>
    <mergeCell ref="I154:J154"/>
    <mergeCell ref="B162:F162"/>
    <mergeCell ref="G162:H162"/>
    <mergeCell ref="I162:J162"/>
    <mergeCell ref="A163:H163"/>
    <mergeCell ref="I163:J163"/>
    <mergeCell ref="A164:K164"/>
    <mergeCell ref="D158:E160"/>
    <mergeCell ref="G158:H159"/>
    <mergeCell ref="K158:K159"/>
    <mergeCell ref="G160:H160"/>
    <mergeCell ref="D161:E161"/>
    <mergeCell ref="G161:H161"/>
    <mergeCell ref="A155:A162"/>
    <mergeCell ref="B155:C161"/>
    <mergeCell ref="D155:E157"/>
    <mergeCell ref="G155:H155"/>
    <mergeCell ref="I155:J161"/>
    <mergeCell ref="B171:J171"/>
    <mergeCell ref="A172:J172"/>
    <mergeCell ref="A173:K173"/>
    <mergeCell ref="A177:K177"/>
    <mergeCell ref="A165:J165"/>
    <mergeCell ref="B166:J166"/>
    <mergeCell ref="B167:J167"/>
    <mergeCell ref="B168:J168"/>
    <mergeCell ref="B169:J169"/>
    <mergeCell ref="B170:J170"/>
  </mergeCells>
  <dataValidations count="1">
    <dataValidation type="custom" allowBlank="1" showInputMessage="1" showErrorMessage="1" sqref="O49">
      <formula1>"0,5 a 1"</formula1>
    </dataValidation>
  </dataValidations>
  <pageMargins left="0.511811024" right="0.511811024" top="0.78740157499999996" bottom="0.78740157499999996" header="0.31496062000000002" footer="0.31496062000000002"/>
  <pageSetup paperSize="9" scale="25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5">
    <pageSetUpPr fitToPage="1"/>
  </sheetPr>
  <dimension ref="A2:F14"/>
  <sheetViews>
    <sheetView showGridLines="0" tabSelected="1" view="pageBreakPreview" zoomScale="120" zoomScaleNormal="115" zoomScaleSheetLayoutView="120" workbookViewId="0">
      <selection activeCell="F20" sqref="F20"/>
    </sheetView>
  </sheetViews>
  <sheetFormatPr defaultRowHeight="12.75" x14ac:dyDescent="0.2"/>
  <cols>
    <col min="1" max="1" width="18" style="34" customWidth="1"/>
    <col min="2" max="2" width="23.28515625" style="34" customWidth="1"/>
    <col min="3" max="3" width="9.5703125" style="34" bestFit="1" customWidth="1"/>
    <col min="4" max="16384" width="9.140625" style="34"/>
  </cols>
  <sheetData>
    <row r="2" spans="1:6" ht="15.75" x14ac:dyDescent="0.2">
      <c r="A2" s="264" t="s">
        <v>231</v>
      </c>
      <c r="B2" s="264"/>
      <c r="C2" s="264"/>
      <c r="D2" s="264"/>
      <c r="E2" s="264"/>
      <c r="F2" s="264"/>
    </row>
    <row r="3" spans="1:6" ht="38.25" x14ac:dyDescent="0.2">
      <c r="A3" s="265" t="s">
        <v>194</v>
      </c>
      <c r="B3" s="265"/>
      <c r="C3" s="35" t="s">
        <v>195</v>
      </c>
      <c r="D3" s="35" t="s">
        <v>196</v>
      </c>
      <c r="E3" s="35" t="s">
        <v>197</v>
      </c>
      <c r="F3" s="35" t="s">
        <v>198</v>
      </c>
    </row>
    <row r="4" spans="1:6" x14ac:dyDescent="0.2">
      <c r="A4" s="266" t="s">
        <v>199</v>
      </c>
      <c r="B4" s="266"/>
      <c r="C4" s="33">
        <v>59.4</v>
      </c>
      <c r="D4" s="36">
        <v>2</v>
      </c>
      <c r="E4" s="37">
        <v>6</v>
      </c>
      <c r="F4" s="38">
        <f>(C4*D4)/E4</f>
        <v>19.8</v>
      </c>
    </row>
    <row r="5" spans="1:6" x14ac:dyDescent="0.2">
      <c r="A5" s="266" t="s">
        <v>200</v>
      </c>
      <c r="B5" s="266"/>
      <c r="C5" s="33">
        <v>45.63</v>
      </c>
      <c r="D5" s="36">
        <v>4</v>
      </c>
      <c r="E5" s="37">
        <v>6</v>
      </c>
      <c r="F5" s="38">
        <f t="shared" ref="F5:F8" si="0">(C5*D5)/E5</f>
        <v>30.42</v>
      </c>
    </row>
    <row r="6" spans="1:6" x14ac:dyDescent="0.2">
      <c r="A6" s="266" t="s">
        <v>245</v>
      </c>
      <c r="B6" s="266"/>
      <c r="C6" s="33">
        <v>72.05</v>
      </c>
      <c r="D6" s="36">
        <v>1</v>
      </c>
      <c r="E6" s="37">
        <v>6</v>
      </c>
      <c r="F6" s="38">
        <f t="shared" si="0"/>
        <v>12.008333333333333</v>
      </c>
    </row>
    <row r="7" spans="1:6" x14ac:dyDescent="0.2">
      <c r="A7" s="269" t="s">
        <v>201</v>
      </c>
      <c r="B7" s="270"/>
      <c r="C7" s="33">
        <v>7.77</v>
      </c>
      <c r="D7" s="36">
        <v>3</v>
      </c>
      <c r="E7" s="37">
        <v>6</v>
      </c>
      <c r="F7" s="38">
        <f t="shared" si="0"/>
        <v>3.8849999999999998</v>
      </c>
    </row>
    <row r="8" spans="1:6" x14ac:dyDescent="0.2">
      <c r="A8" s="266" t="s">
        <v>202</v>
      </c>
      <c r="B8" s="266"/>
      <c r="C8" s="33">
        <v>72.400000000000006</v>
      </c>
      <c r="D8" s="36">
        <v>1</v>
      </c>
      <c r="E8" s="37">
        <v>6</v>
      </c>
      <c r="F8" s="38">
        <f t="shared" si="0"/>
        <v>12.066666666666668</v>
      </c>
    </row>
    <row r="9" spans="1:6" x14ac:dyDescent="0.2">
      <c r="A9" s="266" t="s">
        <v>203</v>
      </c>
      <c r="B9" s="266"/>
      <c r="C9" s="33">
        <v>37.5</v>
      </c>
      <c r="D9" s="36">
        <v>1</v>
      </c>
      <c r="E9" s="37">
        <v>12</v>
      </c>
      <c r="F9" s="38">
        <f>(C9*D9)/E9</f>
        <v>3.125</v>
      </c>
    </row>
    <row r="10" spans="1:6" x14ac:dyDescent="0.2">
      <c r="A10" s="271"/>
      <c r="B10" s="271"/>
      <c r="C10" s="271"/>
      <c r="D10" s="271"/>
      <c r="E10" s="271"/>
      <c r="F10" s="271"/>
    </row>
    <row r="11" spans="1:6" x14ac:dyDescent="0.2">
      <c r="A11" s="268" t="s">
        <v>204</v>
      </c>
      <c r="B11" s="268"/>
      <c r="C11" s="268"/>
      <c r="D11" s="268"/>
      <c r="E11" s="268"/>
      <c r="F11" s="39">
        <f>SUM(F4:F9)</f>
        <v>81.304999999999993</v>
      </c>
    </row>
    <row r="14" spans="1:6" x14ac:dyDescent="0.2">
      <c r="A14" s="267" t="s">
        <v>178</v>
      </c>
      <c r="B14" s="267"/>
      <c r="C14" s="267"/>
      <c r="D14" s="267"/>
      <c r="E14" s="267"/>
      <c r="F14" s="267"/>
    </row>
  </sheetData>
  <sheetProtection algorithmName="SHA-512" hashValue="1mQ7iNTEo+aQRwBCdqE3fSiRJpwPlae9ffew6s3Q/97iANJVZ4YFMFidF6aYCoNZke4+QqrKscBbWYR3r4gilQ==" saltValue="Nz7QDTlnvbdSyCiyGJVQzQ==" spinCount="100000" sheet="1" objects="1" scenarios="1"/>
  <mergeCells count="11">
    <mergeCell ref="A14:F14"/>
    <mergeCell ref="A11:E11"/>
    <mergeCell ref="A7:B7"/>
    <mergeCell ref="A8:B8"/>
    <mergeCell ref="A9:B9"/>
    <mergeCell ref="A10:F10"/>
    <mergeCell ref="A2:F2"/>
    <mergeCell ref="A3:B3"/>
    <mergeCell ref="A4:B4"/>
    <mergeCell ref="A5:B5"/>
    <mergeCell ref="A6:B6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6">
    <pageSetUpPr fitToPage="1"/>
  </sheetPr>
  <dimension ref="A1:L60"/>
  <sheetViews>
    <sheetView showGridLines="0" view="pageBreakPreview" topLeftCell="A20" zoomScale="120" zoomScaleNormal="115" zoomScaleSheetLayoutView="120" workbookViewId="0">
      <pane xSplit="6" topLeftCell="G1" activePane="topRight" state="frozen"/>
      <selection activeCell="K18" sqref="K18"/>
      <selection pane="topRight" activeCell="A23" sqref="A23:F23"/>
    </sheetView>
  </sheetViews>
  <sheetFormatPr defaultColWidth="38" defaultRowHeight="12" x14ac:dyDescent="0.2"/>
  <cols>
    <col min="1" max="1" width="5" style="66" customWidth="1"/>
    <col min="2" max="2" width="45.28515625" style="66" customWidth="1"/>
    <col min="3" max="3" width="27.140625" style="66" customWidth="1"/>
    <col min="4" max="4" width="19.85546875" style="66" customWidth="1"/>
    <col min="5" max="5" width="9.28515625" style="66" customWidth="1"/>
    <col min="6" max="6" width="10.5703125" style="66" customWidth="1"/>
    <col min="7" max="12" width="11.7109375" style="66" customWidth="1"/>
    <col min="13" max="23" width="13.140625" style="66" customWidth="1"/>
    <col min="24" max="16384" width="38" style="66"/>
  </cols>
  <sheetData>
    <row r="1" spans="1:12" x14ac:dyDescent="0.2">
      <c r="A1" s="275" t="s">
        <v>220</v>
      </c>
      <c r="B1" s="276"/>
      <c r="C1" s="276"/>
      <c r="D1" s="276"/>
      <c r="E1" s="276"/>
      <c r="F1" s="277"/>
      <c r="G1" s="64"/>
      <c r="H1" s="64"/>
      <c r="I1" s="65"/>
      <c r="J1" s="65"/>
    </row>
    <row r="2" spans="1:12" ht="12" customHeight="1" x14ac:dyDescent="0.2">
      <c r="A2" s="275"/>
      <c r="B2" s="276"/>
      <c r="C2" s="276"/>
      <c r="D2" s="276"/>
      <c r="E2" s="276"/>
      <c r="F2" s="277"/>
      <c r="G2" s="272" t="s">
        <v>296</v>
      </c>
      <c r="H2" s="273"/>
      <c r="I2" s="272" t="s">
        <v>297</v>
      </c>
      <c r="J2" s="273"/>
      <c r="K2" s="272" t="s">
        <v>298</v>
      </c>
      <c r="L2" s="273"/>
    </row>
    <row r="3" spans="1:12" ht="48" x14ac:dyDescent="0.2">
      <c r="A3" s="67" t="s">
        <v>179</v>
      </c>
      <c r="B3" s="284" t="s">
        <v>180</v>
      </c>
      <c r="C3" s="284"/>
      <c r="D3" s="68" t="s">
        <v>143</v>
      </c>
      <c r="E3" s="69" t="s">
        <v>216</v>
      </c>
      <c r="F3" s="68" t="s">
        <v>181</v>
      </c>
      <c r="G3" s="68" t="s">
        <v>182</v>
      </c>
      <c r="H3" s="69" t="s">
        <v>217</v>
      </c>
      <c r="I3" s="68" t="s">
        <v>182</v>
      </c>
      <c r="J3" s="69" t="s">
        <v>217</v>
      </c>
      <c r="K3" s="68" t="s">
        <v>182</v>
      </c>
      <c r="L3" s="69" t="s">
        <v>217</v>
      </c>
    </row>
    <row r="4" spans="1:12" ht="12.75" x14ac:dyDescent="0.2">
      <c r="A4" s="70">
        <v>1</v>
      </c>
      <c r="B4" s="278" t="s">
        <v>286</v>
      </c>
      <c r="C4" s="279"/>
      <c r="D4" s="71" t="s">
        <v>143</v>
      </c>
      <c r="E4" s="147">
        <v>452.92</v>
      </c>
      <c r="F4" s="73">
        <v>60</v>
      </c>
      <c r="G4" s="145">
        <v>1</v>
      </c>
      <c r="H4" s="75">
        <f t="shared" ref="H4:H18" si="0">ROUND((G4*E4)/F4,2)</f>
        <v>7.55</v>
      </c>
      <c r="I4" s="145">
        <v>1</v>
      </c>
      <c r="J4" s="75">
        <f t="shared" ref="J4:J16" si="1">ROUND((I4*E4)/F4,2)</f>
        <v>7.55</v>
      </c>
      <c r="K4" s="74">
        <v>1</v>
      </c>
      <c r="L4" s="75">
        <f t="shared" ref="L4:L18" si="2">ROUND((K4*E4)/F4,2)</f>
        <v>7.55</v>
      </c>
    </row>
    <row r="5" spans="1:12" ht="12.75" x14ac:dyDescent="0.2">
      <c r="A5" s="70">
        <v>2</v>
      </c>
      <c r="B5" s="282" t="s">
        <v>250</v>
      </c>
      <c r="C5" s="283"/>
      <c r="D5" s="71" t="s">
        <v>143</v>
      </c>
      <c r="E5" s="147">
        <v>12.78</v>
      </c>
      <c r="F5" s="73">
        <v>4</v>
      </c>
      <c r="G5" s="145">
        <v>1</v>
      </c>
      <c r="H5" s="75">
        <f t="shared" si="0"/>
        <v>3.2</v>
      </c>
      <c r="I5" s="145">
        <v>2</v>
      </c>
      <c r="J5" s="75">
        <f t="shared" si="1"/>
        <v>6.39</v>
      </c>
      <c r="K5" s="74">
        <v>3</v>
      </c>
      <c r="L5" s="75">
        <f t="shared" si="2"/>
        <v>9.59</v>
      </c>
    </row>
    <row r="6" spans="1:12" ht="12.75" x14ac:dyDescent="0.2">
      <c r="A6" s="70">
        <v>3</v>
      </c>
      <c r="B6" s="278" t="s">
        <v>233</v>
      </c>
      <c r="C6" s="279"/>
      <c r="D6" s="71" t="s">
        <v>143</v>
      </c>
      <c r="E6" s="147">
        <v>192.63</v>
      </c>
      <c r="F6" s="73">
        <v>60</v>
      </c>
      <c r="G6" s="145">
        <v>1</v>
      </c>
      <c r="H6" s="75">
        <f t="shared" si="0"/>
        <v>3.21</v>
      </c>
      <c r="I6" s="145">
        <v>1</v>
      </c>
      <c r="J6" s="75">
        <f t="shared" si="1"/>
        <v>3.21</v>
      </c>
      <c r="K6" s="74">
        <v>1</v>
      </c>
      <c r="L6" s="75">
        <f t="shared" si="2"/>
        <v>3.21</v>
      </c>
    </row>
    <row r="7" spans="1:12" ht="12.75" x14ac:dyDescent="0.2">
      <c r="A7" s="70">
        <v>4</v>
      </c>
      <c r="B7" s="278" t="s">
        <v>251</v>
      </c>
      <c r="C7" s="279"/>
      <c r="D7" s="71" t="s">
        <v>143</v>
      </c>
      <c r="E7" s="147">
        <v>393.65</v>
      </c>
      <c r="F7" s="73">
        <v>30</v>
      </c>
      <c r="G7" s="145">
        <v>1</v>
      </c>
      <c r="H7" s="75">
        <f t="shared" si="0"/>
        <v>13.12</v>
      </c>
      <c r="I7" s="145">
        <v>1</v>
      </c>
      <c r="J7" s="75">
        <f t="shared" si="1"/>
        <v>13.12</v>
      </c>
      <c r="K7" s="74">
        <v>1</v>
      </c>
      <c r="L7" s="75">
        <f t="shared" si="2"/>
        <v>13.12</v>
      </c>
    </row>
    <row r="8" spans="1:12" ht="12.75" x14ac:dyDescent="0.2">
      <c r="A8" s="70">
        <v>5</v>
      </c>
      <c r="B8" s="278" t="s">
        <v>252</v>
      </c>
      <c r="C8" s="279"/>
      <c r="D8" s="71" t="s">
        <v>143</v>
      </c>
      <c r="E8" s="147">
        <v>534.52</v>
      </c>
      <c r="F8" s="73">
        <v>60</v>
      </c>
      <c r="G8" s="145">
        <v>1</v>
      </c>
      <c r="H8" s="75">
        <f t="shared" si="0"/>
        <v>8.91</v>
      </c>
      <c r="I8" s="145">
        <v>1</v>
      </c>
      <c r="J8" s="75">
        <f t="shared" si="1"/>
        <v>8.91</v>
      </c>
      <c r="K8" s="74">
        <v>1</v>
      </c>
      <c r="L8" s="75">
        <f t="shared" si="2"/>
        <v>8.91</v>
      </c>
    </row>
    <row r="9" spans="1:12" ht="12.75" x14ac:dyDescent="0.2">
      <c r="A9" s="70">
        <v>6</v>
      </c>
      <c r="B9" s="78" t="s">
        <v>259</v>
      </c>
      <c r="C9" s="79"/>
      <c r="D9" s="80" t="s">
        <v>143</v>
      </c>
      <c r="E9" s="147">
        <v>504.41</v>
      </c>
      <c r="F9" s="81">
        <v>60</v>
      </c>
      <c r="G9" s="145">
        <v>1</v>
      </c>
      <c r="H9" s="75">
        <f t="shared" si="0"/>
        <v>8.41</v>
      </c>
      <c r="I9" s="145">
        <v>1</v>
      </c>
      <c r="J9" s="75">
        <f t="shared" si="1"/>
        <v>8.41</v>
      </c>
      <c r="K9" s="82">
        <v>1</v>
      </c>
      <c r="L9" s="75">
        <f t="shared" si="2"/>
        <v>8.41</v>
      </c>
    </row>
    <row r="10" spans="1:12" ht="12.75" x14ac:dyDescent="0.2">
      <c r="A10" s="70">
        <v>7</v>
      </c>
      <c r="B10" s="282" t="s">
        <v>290</v>
      </c>
      <c r="C10" s="283"/>
      <c r="D10" s="80" t="s">
        <v>143</v>
      </c>
      <c r="E10" s="147">
        <v>154.66999999999999</v>
      </c>
      <c r="F10" s="73">
        <v>30</v>
      </c>
      <c r="G10" s="145">
        <v>1</v>
      </c>
      <c r="H10" s="75">
        <f t="shared" si="0"/>
        <v>5.16</v>
      </c>
      <c r="I10" s="145">
        <v>1</v>
      </c>
      <c r="J10" s="75">
        <f t="shared" si="1"/>
        <v>5.16</v>
      </c>
      <c r="K10" s="74">
        <v>1</v>
      </c>
      <c r="L10" s="75">
        <f t="shared" si="2"/>
        <v>5.16</v>
      </c>
    </row>
    <row r="11" spans="1:12" ht="12.75" x14ac:dyDescent="0.2">
      <c r="A11" s="70">
        <v>8</v>
      </c>
      <c r="B11" s="278" t="s">
        <v>287</v>
      </c>
      <c r="C11" s="279"/>
      <c r="D11" s="71" t="s">
        <v>143</v>
      </c>
      <c r="E11" s="147">
        <v>7.45</v>
      </c>
      <c r="F11" s="73">
        <v>6</v>
      </c>
      <c r="G11" s="145">
        <v>1</v>
      </c>
      <c r="H11" s="75">
        <f t="shared" si="0"/>
        <v>1.24</v>
      </c>
      <c r="I11" s="145">
        <v>2</v>
      </c>
      <c r="J11" s="75">
        <f t="shared" si="1"/>
        <v>2.48</v>
      </c>
      <c r="K11" s="74">
        <v>2</v>
      </c>
      <c r="L11" s="75">
        <f t="shared" si="2"/>
        <v>2.48</v>
      </c>
    </row>
    <row r="12" spans="1:12" ht="12.75" x14ac:dyDescent="0.2">
      <c r="A12" s="70">
        <v>9</v>
      </c>
      <c r="B12" s="76" t="s">
        <v>253</v>
      </c>
      <c r="C12" s="77"/>
      <c r="D12" s="80" t="s">
        <v>143</v>
      </c>
      <c r="E12" s="147">
        <v>34.92</v>
      </c>
      <c r="F12" s="73">
        <v>60</v>
      </c>
      <c r="G12" s="145">
        <v>1</v>
      </c>
      <c r="H12" s="75">
        <f t="shared" si="0"/>
        <v>0.57999999999999996</v>
      </c>
      <c r="I12" s="145">
        <v>2</v>
      </c>
      <c r="J12" s="75">
        <f t="shared" si="1"/>
        <v>1.1599999999999999</v>
      </c>
      <c r="K12" s="74">
        <v>1</v>
      </c>
      <c r="L12" s="75">
        <f t="shared" si="2"/>
        <v>0.57999999999999996</v>
      </c>
    </row>
    <row r="13" spans="1:12" ht="12.75" x14ac:dyDescent="0.2">
      <c r="A13" s="70">
        <v>10</v>
      </c>
      <c r="B13" s="294" t="s">
        <v>256</v>
      </c>
      <c r="C13" s="295"/>
      <c r="D13" s="71" t="s">
        <v>143</v>
      </c>
      <c r="E13" s="147">
        <v>10.37</v>
      </c>
      <c r="F13" s="73">
        <v>4</v>
      </c>
      <c r="G13" s="145">
        <v>1</v>
      </c>
      <c r="H13" s="75">
        <f t="shared" si="0"/>
        <v>2.59</v>
      </c>
      <c r="I13" s="145">
        <v>2</v>
      </c>
      <c r="J13" s="75">
        <f t="shared" si="1"/>
        <v>5.19</v>
      </c>
      <c r="K13" s="74">
        <v>1</v>
      </c>
      <c r="L13" s="75">
        <f t="shared" si="2"/>
        <v>2.59</v>
      </c>
    </row>
    <row r="14" spans="1:12" ht="12.75" x14ac:dyDescent="0.2">
      <c r="A14" s="70">
        <v>11</v>
      </c>
      <c r="B14" s="83" t="s">
        <v>258</v>
      </c>
      <c r="C14" s="84"/>
      <c r="D14" s="85" t="s">
        <v>143</v>
      </c>
      <c r="E14" s="147">
        <v>28.01</v>
      </c>
      <c r="F14" s="86">
        <v>12</v>
      </c>
      <c r="G14" s="145">
        <v>1</v>
      </c>
      <c r="H14" s="75">
        <f t="shared" si="0"/>
        <v>2.33</v>
      </c>
      <c r="I14" s="145">
        <v>1</v>
      </c>
      <c r="J14" s="75">
        <f t="shared" si="1"/>
        <v>2.33</v>
      </c>
      <c r="K14" s="87">
        <v>1</v>
      </c>
      <c r="L14" s="75">
        <f t="shared" si="2"/>
        <v>2.33</v>
      </c>
    </row>
    <row r="15" spans="1:12" ht="12.75" x14ac:dyDescent="0.2">
      <c r="A15" s="70">
        <v>12</v>
      </c>
      <c r="B15" s="280" t="s">
        <v>254</v>
      </c>
      <c r="C15" s="281"/>
      <c r="D15" s="85" t="s">
        <v>143</v>
      </c>
      <c r="E15" s="147">
        <v>24.97</v>
      </c>
      <c r="F15" s="86">
        <v>4</v>
      </c>
      <c r="G15" s="145">
        <v>2</v>
      </c>
      <c r="H15" s="75">
        <f t="shared" si="0"/>
        <v>12.49</v>
      </c>
      <c r="I15" s="145">
        <v>2</v>
      </c>
      <c r="J15" s="75">
        <f t="shared" si="1"/>
        <v>12.49</v>
      </c>
      <c r="K15" s="74">
        <v>2</v>
      </c>
      <c r="L15" s="75">
        <f t="shared" si="2"/>
        <v>12.49</v>
      </c>
    </row>
    <row r="16" spans="1:12" ht="12.75" x14ac:dyDescent="0.2">
      <c r="A16" s="70">
        <v>13</v>
      </c>
      <c r="B16" s="280" t="s">
        <v>255</v>
      </c>
      <c r="C16" s="281"/>
      <c r="D16" s="85" t="s">
        <v>143</v>
      </c>
      <c r="E16" s="147">
        <v>15.79</v>
      </c>
      <c r="F16" s="86">
        <v>4</v>
      </c>
      <c r="G16" s="145">
        <v>2</v>
      </c>
      <c r="H16" s="75">
        <f t="shared" si="0"/>
        <v>7.9</v>
      </c>
      <c r="I16" s="145">
        <v>2</v>
      </c>
      <c r="J16" s="75">
        <f t="shared" si="1"/>
        <v>7.9</v>
      </c>
      <c r="K16" s="74">
        <v>1</v>
      </c>
      <c r="L16" s="75">
        <f t="shared" si="2"/>
        <v>3.95</v>
      </c>
    </row>
    <row r="17" spans="1:12" ht="12.75" x14ac:dyDescent="0.2">
      <c r="A17" s="105">
        <v>14</v>
      </c>
      <c r="B17" s="140" t="s">
        <v>320</v>
      </c>
      <c r="C17" s="141"/>
      <c r="D17" s="142" t="s">
        <v>188</v>
      </c>
      <c r="E17" s="147">
        <v>34.72</v>
      </c>
      <c r="F17" s="143">
        <v>4</v>
      </c>
      <c r="G17" s="145">
        <v>2</v>
      </c>
      <c r="H17" s="144">
        <f t="shared" si="0"/>
        <v>17.36</v>
      </c>
      <c r="I17" s="145"/>
      <c r="J17" s="144">
        <f>ROUND((I17*E17)/F17,2)</f>
        <v>0</v>
      </c>
      <c r="K17" s="82">
        <v>2</v>
      </c>
      <c r="L17" s="144">
        <f t="shared" si="2"/>
        <v>17.36</v>
      </c>
    </row>
    <row r="18" spans="1:12" x14ac:dyDescent="0.2">
      <c r="A18" s="70">
        <v>15</v>
      </c>
      <c r="B18" s="280" t="s">
        <v>260</v>
      </c>
      <c r="C18" s="281"/>
      <c r="D18" s="80" t="s">
        <v>143</v>
      </c>
      <c r="E18" s="147">
        <v>12.39</v>
      </c>
      <c r="F18" s="86">
        <v>4</v>
      </c>
      <c r="G18" s="74">
        <v>4</v>
      </c>
      <c r="H18" s="75">
        <f t="shared" si="0"/>
        <v>12.39</v>
      </c>
      <c r="I18" s="74">
        <v>6</v>
      </c>
      <c r="J18" s="75">
        <f>ROUND((I18*E18)/F18,2)</f>
        <v>18.59</v>
      </c>
      <c r="K18" s="74">
        <v>1</v>
      </c>
      <c r="L18" s="75">
        <f t="shared" si="2"/>
        <v>3.1</v>
      </c>
    </row>
    <row r="19" spans="1:12" x14ac:dyDescent="0.2">
      <c r="A19" s="288" t="s">
        <v>218</v>
      </c>
      <c r="B19" s="289"/>
      <c r="C19" s="289"/>
      <c r="D19" s="289"/>
      <c r="E19" s="289"/>
      <c r="F19" s="290"/>
      <c r="G19" s="87"/>
      <c r="H19" s="88">
        <f>SUM(H4:H18)</f>
        <v>106.43999999999998</v>
      </c>
      <c r="I19" s="89"/>
      <c r="J19" s="88">
        <f>SUM(J4:J18)</f>
        <v>102.88999999999999</v>
      </c>
      <c r="K19" s="89"/>
      <c r="L19" s="88">
        <f>SUM(L4:L18)</f>
        <v>100.82999999999997</v>
      </c>
    </row>
    <row r="20" spans="1:12" x14ac:dyDescent="0.2">
      <c r="A20" s="288" t="s">
        <v>125</v>
      </c>
      <c r="B20" s="289"/>
      <c r="C20" s="289"/>
      <c r="D20" s="289"/>
      <c r="E20" s="289"/>
      <c r="F20" s="290"/>
      <c r="G20" s="90">
        <v>3.6499999999999998E-2</v>
      </c>
      <c r="H20" s="91">
        <f>H19*G20</f>
        <v>3.8850599999999993</v>
      </c>
      <c r="I20" s="92">
        <v>3.6499999999999998E-2</v>
      </c>
      <c r="J20" s="91">
        <f>J19*I20</f>
        <v>3.7554849999999993</v>
      </c>
      <c r="K20" s="92">
        <v>3.6499999999999998E-2</v>
      </c>
      <c r="L20" s="91">
        <f>L19*K20</f>
        <v>3.6802949999999988</v>
      </c>
    </row>
    <row r="21" spans="1:12" ht="12.75" thickBot="1" x14ac:dyDescent="0.25">
      <c r="A21" s="291" t="s">
        <v>219</v>
      </c>
      <c r="B21" s="292"/>
      <c r="C21" s="292"/>
      <c r="D21" s="292"/>
      <c r="E21" s="292"/>
      <c r="F21" s="293"/>
      <c r="G21" s="93"/>
      <c r="H21" s="94">
        <f>H19-H20</f>
        <v>102.55493999999999</v>
      </c>
      <c r="I21" s="95"/>
      <c r="J21" s="94">
        <f>J19-J20</f>
        <v>99.134514999999993</v>
      </c>
      <c r="K21" s="95"/>
      <c r="L21" s="94">
        <f>L19-L20</f>
        <v>97.149704999999969</v>
      </c>
    </row>
    <row r="22" spans="1:12" x14ac:dyDescent="0.2">
      <c r="A22" s="96"/>
      <c r="B22" s="97"/>
      <c r="C22" s="97"/>
      <c r="D22" s="98"/>
      <c r="E22" s="99"/>
      <c r="F22" s="96"/>
      <c r="G22" s="100"/>
      <c r="H22" s="101"/>
      <c r="I22" s="65"/>
      <c r="J22" s="65"/>
    </row>
    <row r="23" spans="1:12" x14ac:dyDescent="0.2">
      <c r="A23" s="275" t="s">
        <v>221</v>
      </c>
      <c r="B23" s="276"/>
      <c r="C23" s="276"/>
      <c r="D23" s="276"/>
      <c r="E23" s="276"/>
      <c r="F23" s="277"/>
      <c r="G23" s="64"/>
      <c r="H23" s="64"/>
      <c r="I23" s="65"/>
      <c r="J23" s="65"/>
    </row>
    <row r="24" spans="1:12" ht="12" customHeight="1" x14ac:dyDescent="0.2">
      <c r="A24" s="275"/>
      <c r="B24" s="276"/>
      <c r="C24" s="276"/>
      <c r="D24" s="276"/>
      <c r="E24" s="276"/>
      <c r="F24" s="277"/>
      <c r="G24" s="272" t="str">
        <f>G2</f>
        <v>Subseção Araçatuba</v>
      </c>
      <c r="H24" s="273"/>
      <c r="I24" s="274" t="s">
        <v>297</v>
      </c>
      <c r="J24" s="274"/>
      <c r="K24" s="274" t="s">
        <v>298</v>
      </c>
      <c r="L24" s="274"/>
    </row>
    <row r="25" spans="1:12" ht="48" x14ac:dyDescent="0.2">
      <c r="A25" s="102" t="s">
        <v>281</v>
      </c>
      <c r="B25" s="68" t="s">
        <v>180</v>
      </c>
      <c r="C25" s="68" t="s">
        <v>280</v>
      </c>
      <c r="D25" s="68" t="s">
        <v>188</v>
      </c>
      <c r="E25" s="69" t="s">
        <v>234</v>
      </c>
      <c r="F25" s="68" t="str">
        <f>F3</f>
        <v>Reposição  a cada quantos MESES?</v>
      </c>
      <c r="G25" s="68" t="s">
        <v>182</v>
      </c>
      <c r="H25" s="69" t="s">
        <v>217</v>
      </c>
      <c r="I25" s="68" t="s">
        <v>182</v>
      </c>
      <c r="J25" s="69" t="s">
        <v>217</v>
      </c>
      <c r="K25" s="68" t="s">
        <v>182</v>
      </c>
      <c r="L25" s="69" t="s">
        <v>217</v>
      </c>
    </row>
    <row r="26" spans="1:12" ht="12.75" x14ac:dyDescent="0.2">
      <c r="A26" s="70">
        <v>1</v>
      </c>
      <c r="B26" s="103" t="s">
        <v>288</v>
      </c>
      <c r="C26" s="104" t="s">
        <v>316</v>
      </c>
      <c r="D26" s="104" t="s">
        <v>186</v>
      </c>
      <c r="E26" s="72">
        <v>14.51</v>
      </c>
      <c r="F26" s="73">
        <v>2</v>
      </c>
      <c r="G26" s="146">
        <v>3</v>
      </c>
      <c r="H26" s="75">
        <f>ROUND((G26*$E26)/$F26,2)</f>
        <v>21.77</v>
      </c>
      <c r="I26" s="146">
        <v>4</v>
      </c>
      <c r="J26" s="75">
        <f t="shared" ref="J26:J48" si="3">ROUND(((E26*I26)/F26),2)</f>
        <v>29.02</v>
      </c>
      <c r="K26" s="73">
        <v>3</v>
      </c>
      <c r="L26" s="75">
        <f t="shared" ref="L26:L48" si="4">ROUND((E26*K26)/F26,2)</f>
        <v>21.77</v>
      </c>
    </row>
    <row r="27" spans="1:12" ht="12.75" x14ac:dyDescent="0.2">
      <c r="A27" s="70">
        <v>2</v>
      </c>
      <c r="B27" s="103" t="s">
        <v>183</v>
      </c>
      <c r="C27" s="104" t="s">
        <v>269</v>
      </c>
      <c r="D27" s="104" t="s">
        <v>184</v>
      </c>
      <c r="E27" s="72">
        <v>8.48</v>
      </c>
      <c r="F27" s="73">
        <v>2</v>
      </c>
      <c r="G27" s="146">
        <v>5</v>
      </c>
      <c r="H27" s="75">
        <f t="shared" ref="H27:H48" si="5">ROUND((G27*$E27)/$F27,2)</f>
        <v>21.2</v>
      </c>
      <c r="I27" s="146">
        <v>8</v>
      </c>
      <c r="J27" s="75">
        <f t="shared" si="3"/>
        <v>33.92</v>
      </c>
      <c r="K27" s="73">
        <v>6</v>
      </c>
      <c r="L27" s="75">
        <f t="shared" si="4"/>
        <v>25.44</v>
      </c>
    </row>
    <row r="28" spans="1:12" ht="12.75" x14ac:dyDescent="0.2">
      <c r="A28" s="70">
        <v>3</v>
      </c>
      <c r="B28" s="103" t="s">
        <v>185</v>
      </c>
      <c r="C28" s="104" t="s">
        <v>268</v>
      </c>
      <c r="D28" s="104" t="s">
        <v>186</v>
      </c>
      <c r="E28" s="72">
        <v>10.87</v>
      </c>
      <c r="F28" s="73">
        <v>2</v>
      </c>
      <c r="G28" s="146">
        <v>3</v>
      </c>
      <c r="H28" s="75">
        <f t="shared" si="5"/>
        <v>16.309999999999999</v>
      </c>
      <c r="I28" s="146">
        <v>2</v>
      </c>
      <c r="J28" s="75">
        <f t="shared" si="3"/>
        <v>10.87</v>
      </c>
      <c r="K28" s="73">
        <v>3</v>
      </c>
      <c r="L28" s="75">
        <f t="shared" si="4"/>
        <v>16.309999999999999</v>
      </c>
    </row>
    <row r="29" spans="1:12" ht="12.75" x14ac:dyDescent="0.2">
      <c r="A29" s="70">
        <v>4</v>
      </c>
      <c r="B29" s="103" t="s">
        <v>187</v>
      </c>
      <c r="C29" s="104" t="s">
        <v>270</v>
      </c>
      <c r="D29" s="104" t="s">
        <v>188</v>
      </c>
      <c r="E29" s="72">
        <v>9.7799999999999994</v>
      </c>
      <c r="F29" s="73">
        <v>2</v>
      </c>
      <c r="G29" s="146">
        <v>1</v>
      </c>
      <c r="H29" s="75">
        <f t="shared" si="5"/>
        <v>4.8899999999999997</v>
      </c>
      <c r="I29" s="146">
        <v>4</v>
      </c>
      <c r="J29" s="75">
        <f t="shared" si="3"/>
        <v>19.559999999999999</v>
      </c>
      <c r="K29" s="73">
        <v>6</v>
      </c>
      <c r="L29" s="75">
        <f t="shared" si="4"/>
        <v>29.34</v>
      </c>
    </row>
    <row r="30" spans="1:12" ht="12.75" x14ac:dyDescent="0.2">
      <c r="A30" s="70">
        <v>5</v>
      </c>
      <c r="B30" s="103" t="s">
        <v>246</v>
      </c>
      <c r="C30" s="104" t="s">
        <v>271</v>
      </c>
      <c r="D30" s="104" t="s">
        <v>186</v>
      </c>
      <c r="E30" s="72">
        <v>21.39</v>
      </c>
      <c r="F30" s="73">
        <v>2</v>
      </c>
      <c r="G30" s="146">
        <v>1</v>
      </c>
      <c r="H30" s="75">
        <f t="shared" si="5"/>
        <v>10.7</v>
      </c>
      <c r="I30" s="146">
        <v>2</v>
      </c>
      <c r="J30" s="75">
        <f t="shared" si="3"/>
        <v>21.39</v>
      </c>
      <c r="K30" s="73">
        <v>3</v>
      </c>
      <c r="L30" s="75">
        <f t="shared" si="4"/>
        <v>32.090000000000003</v>
      </c>
    </row>
    <row r="31" spans="1:12" ht="12.75" x14ac:dyDescent="0.2">
      <c r="A31" s="105">
        <v>6</v>
      </c>
      <c r="B31" s="106" t="s">
        <v>261</v>
      </c>
      <c r="C31" s="107" t="s">
        <v>272</v>
      </c>
      <c r="D31" s="104" t="s">
        <v>188</v>
      </c>
      <c r="E31" s="72">
        <v>9.43</v>
      </c>
      <c r="F31" s="81">
        <v>2</v>
      </c>
      <c r="G31" s="146">
        <v>1</v>
      </c>
      <c r="H31" s="75">
        <f t="shared" si="5"/>
        <v>4.72</v>
      </c>
      <c r="I31" s="146">
        <v>2</v>
      </c>
      <c r="J31" s="75">
        <f t="shared" si="3"/>
        <v>9.43</v>
      </c>
      <c r="K31" s="81">
        <v>1</v>
      </c>
      <c r="L31" s="75">
        <f t="shared" si="4"/>
        <v>4.72</v>
      </c>
    </row>
    <row r="32" spans="1:12" ht="12.75" x14ac:dyDescent="0.2">
      <c r="A32" s="70">
        <v>7</v>
      </c>
      <c r="B32" s="103" t="s">
        <v>189</v>
      </c>
      <c r="C32" s="104" t="s">
        <v>273</v>
      </c>
      <c r="D32" s="104" t="s">
        <v>143</v>
      </c>
      <c r="E32" s="72">
        <v>1.25</v>
      </c>
      <c r="F32" s="73">
        <v>2</v>
      </c>
      <c r="G32" s="146">
        <v>3</v>
      </c>
      <c r="H32" s="75">
        <f t="shared" si="5"/>
        <v>1.88</v>
      </c>
      <c r="I32" s="146">
        <v>6</v>
      </c>
      <c r="J32" s="75">
        <f t="shared" si="3"/>
        <v>3.75</v>
      </c>
      <c r="K32" s="73">
        <v>10</v>
      </c>
      <c r="L32" s="75">
        <f t="shared" si="4"/>
        <v>6.25</v>
      </c>
    </row>
    <row r="33" spans="1:12" ht="12.75" x14ac:dyDescent="0.2">
      <c r="A33" s="70">
        <v>8</v>
      </c>
      <c r="B33" s="103" t="s">
        <v>289</v>
      </c>
      <c r="C33" s="104" t="s">
        <v>274</v>
      </c>
      <c r="D33" s="104" t="s">
        <v>143</v>
      </c>
      <c r="E33" s="72">
        <v>2.15</v>
      </c>
      <c r="F33" s="73">
        <v>2</v>
      </c>
      <c r="G33" s="146">
        <v>5</v>
      </c>
      <c r="H33" s="75">
        <f t="shared" si="5"/>
        <v>5.38</v>
      </c>
      <c r="I33" s="146">
        <v>6</v>
      </c>
      <c r="J33" s="75">
        <f t="shared" si="3"/>
        <v>6.45</v>
      </c>
      <c r="K33" s="73">
        <v>16</v>
      </c>
      <c r="L33" s="75">
        <f t="shared" si="4"/>
        <v>17.2</v>
      </c>
    </row>
    <row r="34" spans="1:12" ht="12.75" x14ac:dyDescent="0.2">
      <c r="A34" s="70">
        <v>9</v>
      </c>
      <c r="B34" s="103" t="s">
        <v>237</v>
      </c>
      <c r="C34" s="104" t="s">
        <v>275</v>
      </c>
      <c r="D34" s="104" t="s">
        <v>239</v>
      </c>
      <c r="E34" s="72">
        <v>2.61</v>
      </c>
      <c r="F34" s="73">
        <v>2</v>
      </c>
      <c r="G34" s="146">
        <v>1</v>
      </c>
      <c r="H34" s="75">
        <f t="shared" si="5"/>
        <v>1.31</v>
      </c>
      <c r="I34" s="146">
        <v>1</v>
      </c>
      <c r="J34" s="75">
        <f t="shared" si="3"/>
        <v>1.31</v>
      </c>
      <c r="K34" s="73">
        <v>4</v>
      </c>
      <c r="L34" s="75">
        <f t="shared" si="4"/>
        <v>5.22</v>
      </c>
    </row>
    <row r="35" spans="1:12" ht="12.75" x14ac:dyDescent="0.2">
      <c r="A35" s="105">
        <v>10</v>
      </c>
      <c r="B35" s="103" t="s">
        <v>238</v>
      </c>
      <c r="C35" s="104" t="s">
        <v>317</v>
      </c>
      <c r="D35" s="104" t="s">
        <v>186</v>
      </c>
      <c r="E35" s="72">
        <v>15.57</v>
      </c>
      <c r="F35" s="73">
        <v>2</v>
      </c>
      <c r="G35" s="146">
        <v>1</v>
      </c>
      <c r="H35" s="75">
        <f t="shared" si="5"/>
        <v>7.79</v>
      </c>
      <c r="I35" s="146">
        <v>1</v>
      </c>
      <c r="J35" s="75">
        <f t="shared" si="3"/>
        <v>7.79</v>
      </c>
      <c r="K35" s="73">
        <v>1</v>
      </c>
      <c r="L35" s="75">
        <f t="shared" si="4"/>
        <v>7.79</v>
      </c>
    </row>
    <row r="36" spans="1:12" ht="12.75" x14ac:dyDescent="0.2">
      <c r="A36" s="105">
        <v>11</v>
      </c>
      <c r="B36" s="106" t="s">
        <v>265</v>
      </c>
      <c r="C36" s="107" t="s">
        <v>276</v>
      </c>
      <c r="D36" s="107" t="s">
        <v>184</v>
      </c>
      <c r="E36" s="108">
        <v>30.06</v>
      </c>
      <c r="F36" s="81">
        <v>2</v>
      </c>
      <c r="G36" s="146"/>
      <c r="H36" s="75">
        <f t="shared" si="5"/>
        <v>0</v>
      </c>
      <c r="I36" s="146">
        <v>1</v>
      </c>
      <c r="J36" s="75">
        <f t="shared" si="3"/>
        <v>15.03</v>
      </c>
      <c r="K36" s="81"/>
      <c r="L36" s="75">
        <f t="shared" si="4"/>
        <v>0</v>
      </c>
    </row>
    <row r="37" spans="1:12" ht="12.75" x14ac:dyDescent="0.2">
      <c r="A37" s="70">
        <v>12</v>
      </c>
      <c r="B37" s="106" t="s">
        <v>262</v>
      </c>
      <c r="C37" s="107" t="s">
        <v>277</v>
      </c>
      <c r="D37" s="104" t="s">
        <v>143</v>
      </c>
      <c r="E37" s="108">
        <v>39.909999999999997</v>
      </c>
      <c r="F37" s="81">
        <v>2</v>
      </c>
      <c r="G37" s="146"/>
      <c r="H37" s="75">
        <f t="shared" si="5"/>
        <v>0</v>
      </c>
      <c r="I37" s="146"/>
      <c r="J37" s="75">
        <f t="shared" si="3"/>
        <v>0</v>
      </c>
      <c r="K37" s="81">
        <v>1</v>
      </c>
      <c r="L37" s="75">
        <f t="shared" si="4"/>
        <v>19.96</v>
      </c>
    </row>
    <row r="38" spans="1:12" ht="12.75" x14ac:dyDescent="0.2">
      <c r="A38" s="70">
        <v>13</v>
      </c>
      <c r="B38" s="103" t="s">
        <v>190</v>
      </c>
      <c r="C38" s="104" t="s">
        <v>318</v>
      </c>
      <c r="D38" s="104" t="s">
        <v>186</v>
      </c>
      <c r="E38" s="72">
        <v>18.05</v>
      </c>
      <c r="F38" s="73">
        <v>2</v>
      </c>
      <c r="G38" s="146">
        <v>1</v>
      </c>
      <c r="H38" s="75">
        <f t="shared" si="5"/>
        <v>9.0299999999999994</v>
      </c>
      <c r="I38" s="146">
        <v>1</v>
      </c>
      <c r="J38" s="75">
        <f t="shared" si="3"/>
        <v>9.0299999999999994</v>
      </c>
      <c r="K38" s="73">
        <v>1</v>
      </c>
      <c r="L38" s="75">
        <f t="shared" si="4"/>
        <v>9.0299999999999994</v>
      </c>
    </row>
    <row r="39" spans="1:12" ht="12.75" x14ac:dyDescent="0.2">
      <c r="A39" s="70">
        <v>14</v>
      </c>
      <c r="B39" s="103" t="s">
        <v>240</v>
      </c>
      <c r="C39" s="104" t="s">
        <v>278</v>
      </c>
      <c r="D39" s="104" t="s">
        <v>247</v>
      </c>
      <c r="E39" s="72">
        <v>13.16</v>
      </c>
      <c r="F39" s="73">
        <v>2</v>
      </c>
      <c r="G39" s="146"/>
      <c r="H39" s="75">
        <f t="shared" si="5"/>
        <v>0</v>
      </c>
      <c r="I39" s="146">
        <v>4</v>
      </c>
      <c r="J39" s="75">
        <f t="shared" si="3"/>
        <v>26.32</v>
      </c>
      <c r="K39" s="73"/>
      <c r="L39" s="75">
        <f t="shared" si="4"/>
        <v>0</v>
      </c>
    </row>
    <row r="40" spans="1:12" ht="12.75" x14ac:dyDescent="0.2">
      <c r="A40" s="70">
        <v>15</v>
      </c>
      <c r="B40" s="103" t="s">
        <v>319</v>
      </c>
      <c r="C40" s="104" t="s">
        <v>279</v>
      </c>
      <c r="D40" s="104" t="s">
        <v>191</v>
      </c>
      <c r="E40" s="72">
        <v>9.61</v>
      </c>
      <c r="F40" s="73">
        <v>2</v>
      </c>
      <c r="G40" s="146">
        <v>1</v>
      </c>
      <c r="H40" s="75">
        <f t="shared" si="5"/>
        <v>4.8099999999999996</v>
      </c>
      <c r="I40" s="146">
        <v>4</v>
      </c>
      <c r="J40" s="75">
        <f t="shared" si="3"/>
        <v>19.22</v>
      </c>
      <c r="K40" s="73">
        <v>4</v>
      </c>
      <c r="L40" s="75">
        <f t="shared" si="4"/>
        <v>19.22</v>
      </c>
    </row>
    <row r="41" spans="1:12" ht="12.75" x14ac:dyDescent="0.2">
      <c r="A41" s="105">
        <v>16</v>
      </c>
      <c r="B41" s="103" t="s">
        <v>192</v>
      </c>
      <c r="C41" s="104" t="s">
        <v>274</v>
      </c>
      <c r="D41" s="104" t="s">
        <v>188</v>
      </c>
      <c r="E41" s="72">
        <v>3.65</v>
      </c>
      <c r="F41" s="73">
        <v>2</v>
      </c>
      <c r="G41" s="146">
        <v>8</v>
      </c>
      <c r="H41" s="75">
        <f t="shared" si="5"/>
        <v>14.6</v>
      </c>
      <c r="I41" s="146">
        <v>8</v>
      </c>
      <c r="J41" s="75">
        <f t="shared" si="3"/>
        <v>14.6</v>
      </c>
      <c r="K41" s="73">
        <v>20</v>
      </c>
      <c r="L41" s="75">
        <f t="shared" si="4"/>
        <v>36.5</v>
      </c>
    </row>
    <row r="42" spans="1:12" ht="12.75" x14ac:dyDescent="0.2">
      <c r="A42" s="70">
        <v>17</v>
      </c>
      <c r="B42" s="106" t="s">
        <v>263</v>
      </c>
      <c r="C42" s="107" t="s">
        <v>282</v>
      </c>
      <c r="D42" s="107" t="s">
        <v>266</v>
      </c>
      <c r="E42" s="108">
        <v>15.25</v>
      </c>
      <c r="F42" s="81">
        <v>2</v>
      </c>
      <c r="G42" s="146">
        <v>1</v>
      </c>
      <c r="H42" s="75">
        <f t="shared" si="5"/>
        <v>7.63</v>
      </c>
      <c r="I42" s="146">
        <v>1</v>
      </c>
      <c r="J42" s="75">
        <f t="shared" si="3"/>
        <v>7.63</v>
      </c>
      <c r="K42" s="81">
        <v>1</v>
      </c>
      <c r="L42" s="75">
        <f t="shared" si="4"/>
        <v>7.63</v>
      </c>
    </row>
    <row r="43" spans="1:12" ht="12.75" x14ac:dyDescent="0.2">
      <c r="A43" s="70">
        <v>18</v>
      </c>
      <c r="B43" s="103" t="s">
        <v>241</v>
      </c>
      <c r="C43" s="104" t="s">
        <v>283</v>
      </c>
      <c r="D43" s="104" t="s">
        <v>242</v>
      </c>
      <c r="E43" s="72">
        <v>6.4</v>
      </c>
      <c r="F43" s="73">
        <v>2</v>
      </c>
      <c r="G43" s="146">
        <v>1</v>
      </c>
      <c r="H43" s="75">
        <f t="shared" si="5"/>
        <v>3.2</v>
      </c>
      <c r="I43" s="146">
        <v>2</v>
      </c>
      <c r="J43" s="75">
        <f t="shared" si="3"/>
        <v>6.4</v>
      </c>
      <c r="K43" s="73">
        <v>6</v>
      </c>
      <c r="L43" s="75">
        <f t="shared" si="4"/>
        <v>19.2</v>
      </c>
    </row>
    <row r="44" spans="1:12" ht="12.75" x14ac:dyDescent="0.2">
      <c r="A44" s="70">
        <v>19</v>
      </c>
      <c r="B44" s="103" t="s">
        <v>235</v>
      </c>
      <c r="C44" s="104" t="s">
        <v>284</v>
      </c>
      <c r="D44" s="104" t="s">
        <v>193</v>
      </c>
      <c r="E44" s="72">
        <v>8.06</v>
      </c>
      <c r="F44" s="73">
        <v>2</v>
      </c>
      <c r="G44" s="146">
        <v>1</v>
      </c>
      <c r="H44" s="75">
        <f t="shared" si="5"/>
        <v>4.03</v>
      </c>
      <c r="I44" s="146">
        <v>1</v>
      </c>
      <c r="J44" s="75">
        <f t="shared" si="3"/>
        <v>4.03</v>
      </c>
      <c r="K44" s="73">
        <v>1</v>
      </c>
      <c r="L44" s="75">
        <f t="shared" si="4"/>
        <v>4.03</v>
      </c>
    </row>
    <row r="45" spans="1:12" ht="12.75" x14ac:dyDescent="0.2">
      <c r="A45" s="109">
        <v>20</v>
      </c>
      <c r="B45" s="106" t="s">
        <v>322</v>
      </c>
      <c r="C45" s="104" t="s">
        <v>284</v>
      </c>
      <c r="D45" s="104" t="s">
        <v>193</v>
      </c>
      <c r="E45" s="108">
        <v>33.07</v>
      </c>
      <c r="F45" s="81">
        <v>2</v>
      </c>
      <c r="G45" s="146">
        <v>1</v>
      </c>
      <c r="H45" s="144">
        <f t="shared" si="5"/>
        <v>16.54</v>
      </c>
      <c r="I45" s="146">
        <v>1</v>
      </c>
      <c r="J45" s="144">
        <f t="shared" si="3"/>
        <v>16.54</v>
      </c>
      <c r="K45" s="81">
        <v>1</v>
      </c>
      <c r="L45" s="144">
        <f t="shared" si="4"/>
        <v>16.54</v>
      </c>
    </row>
    <row r="46" spans="1:12" ht="12.75" x14ac:dyDescent="0.2">
      <c r="A46" s="109">
        <v>21</v>
      </c>
      <c r="B46" s="103" t="s">
        <v>321</v>
      </c>
      <c r="C46" s="104" t="s">
        <v>284</v>
      </c>
      <c r="D46" s="104" t="s">
        <v>193</v>
      </c>
      <c r="E46" s="108">
        <v>14.58</v>
      </c>
      <c r="F46" s="81">
        <v>2</v>
      </c>
      <c r="G46" s="146">
        <v>1</v>
      </c>
      <c r="H46" s="144">
        <f t="shared" si="5"/>
        <v>7.29</v>
      </c>
      <c r="I46" s="146">
        <v>1</v>
      </c>
      <c r="J46" s="144">
        <f t="shared" si="3"/>
        <v>7.29</v>
      </c>
      <c r="K46" s="81">
        <v>1</v>
      </c>
      <c r="L46" s="144">
        <f t="shared" si="4"/>
        <v>7.29</v>
      </c>
    </row>
    <row r="47" spans="1:12" x14ac:dyDescent="0.2">
      <c r="A47" s="109">
        <v>22</v>
      </c>
      <c r="B47" s="103" t="s">
        <v>236</v>
      </c>
      <c r="C47" s="104" t="s">
        <v>284</v>
      </c>
      <c r="D47" s="104" t="s">
        <v>193</v>
      </c>
      <c r="E47" s="72">
        <v>25.68</v>
      </c>
      <c r="F47" s="73">
        <v>2</v>
      </c>
      <c r="G47" s="73">
        <v>2</v>
      </c>
      <c r="H47" s="75">
        <f t="shared" si="5"/>
        <v>25.68</v>
      </c>
      <c r="I47" s="73">
        <v>1</v>
      </c>
      <c r="J47" s="75">
        <f t="shared" si="3"/>
        <v>12.84</v>
      </c>
      <c r="K47" s="73">
        <v>1</v>
      </c>
      <c r="L47" s="75">
        <f t="shared" si="4"/>
        <v>12.84</v>
      </c>
    </row>
    <row r="48" spans="1:12" x14ac:dyDescent="0.2">
      <c r="A48" s="109">
        <v>23</v>
      </c>
      <c r="B48" s="103" t="s">
        <v>264</v>
      </c>
      <c r="C48" s="104" t="s">
        <v>285</v>
      </c>
      <c r="D48" s="104" t="s">
        <v>267</v>
      </c>
      <c r="E48" s="72">
        <v>8.31</v>
      </c>
      <c r="F48" s="73">
        <v>2</v>
      </c>
      <c r="G48" s="73">
        <v>2</v>
      </c>
      <c r="H48" s="75">
        <f t="shared" si="5"/>
        <v>8.31</v>
      </c>
      <c r="I48" s="73">
        <v>2</v>
      </c>
      <c r="J48" s="75">
        <f t="shared" si="3"/>
        <v>8.31</v>
      </c>
      <c r="K48" s="73">
        <v>2</v>
      </c>
      <c r="L48" s="75">
        <f t="shared" si="4"/>
        <v>8.31</v>
      </c>
    </row>
    <row r="49" spans="1:12" x14ac:dyDescent="0.2">
      <c r="A49" s="288" t="s">
        <v>218</v>
      </c>
      <c r="B49" s="289"/>
      <c r="C49" s="289"/>
      <c r="D49" s="289"/>
      <c r="E49" s="289"/>
      <c r="F49" s="290"/>
      <c r="G49" s="89"/>
      <c r="H49" s="88">
        <f>SUM(H26:H48)</f>
        <v>197.07</v>
      </c>
      <c r="I49" s="89"/>
      <c r="J49" s="88">
        <f>SUM(J26:J48)</f>
        <v>290.72999999999996</v>
      </c>
      <c r="K49" s="89"/>
      <c r="L49" s="88">
        <f>SUM(L26:L48)</f>
        <v>326.68</v>
      </c>
    </row>
    <row r="50" spans="1:12" x14ac:dyDescent="0.2">
      <c r="A50" s="288" t="s">
        <v>125</v>
      </c>
      <c r="B50" s="289"/>
      <c r="C50" s="289"/>
      <c r="D50" s="289"/>
      <c r="E50" s="289"/>
      <c r="F50" s="290"/>
      <c r="G50" s="92">
        <f>G20</f>
        <v>3.6499999999999998E-2</v>
      </c>
      <c r="H50" s="91">
        <f>H49*G50</f>
        <v>7.1930549999999993</v>
      </c>
      <c r="I50" s="92">
        <f>I20</f>
        <v>3.6499999999999998E-2</v>
      </c>
      <c r="J50" s="91">
        <f>J49*I50</f>
        <v>10.611644999999998</v>
      </c>
      <c r="K50" s="92">
        <f>K20</f>
        <v>3.6499999999999998E-2</v>
      </c>
      <c r="L50" s="91">
        <f>L49*K50</f>
        <v>11.923819999999999</v>
      </c>
    </row>
    <row r="51" spans="1:12" ht="12.75" thickBot="1" x14ac:dyDescent="0.25">
      <c r="A51" s="291" t="s">
        <v>219</v>
      </c>
      <c r="B51" s="292"/>
      <c r="C51" s="292"/>
      <c r="D51" s="292"/>
      <c r="E51" s="292"/>
      <c r="F51" s="293"/>
      <c r="G51" s="95"/>
      <c r="H51" s="94">
        <f>H49-H50</f>
        <v>189.87694500000001</v>
      </c>
      <c r="I51" s="95"/>
      <c r="J51" s="94">
        <f>J49-J50</f>
        <v>280.11835499999995</v>
      </c>
      <c r="K51" s="95"/>
      <c r="L51" s="94">
        <f>L49-L50</f>
        <v>314.75618000000003</v>
      </c>
    </row>
    <row r="52" spans="1:12" x14ac:dyDescent="0.2">
      <c r="A52" s="89"/>
      <c r="B52" s="110"/>
      <c r="C52" s="111"/>
      <c r="D52" s="89"/>
      <c r="E52" s="112"/>
      <c r="F52" s="111"/>
      <c r="G52" s="89"/>
      <c r="H52" s="89"/>
      <c r="I52" s="65"/>
      <c r="J52" s="65"/>
    </row>
    <row r="53" spans="1:12" x14ac:dyDescent="0.2">
      <c r="A53" s="89"/>
      <c r="B53" s="110"/>
      <c r="C53" s="111"/>
      <c r="D53" s="89"/>
      <c r="E53" s="112"/>
      <c r="F53" s="111"/>
      <c r="G53" s="89"/>
      <c r="H53" s="89"/>
      <c r="I53" s="65"/>
      <c r="J53" s="65"/>
    </row>
    <row r="54" spans="1:12" x14ac:dyDescent="0.2">
      <c r="A54" s="285" t="s">
        <v>178</v>
      </c>
      <c r="B54" s="286"/>
      <c r="C54" s="286"/>
      <c r="D54" s="286"/>
      <c r="E54" s="287"/>
      <c r="F54" s="111"/>
      <c r="G54" s="89"/>
      <c r="H54" s="89"/>
      <c r="I54" s="65"/>
      <c r="J54" s="65"/>
    </row>
    <row r="55" spans="1:12" x14ac:dyDescent="0.2">
      <c r="A55" s="89"/>
      <c r="B55" s="110"/>
      <c r="C55" s="111"/>
      <c r="D55" s="89"/>
      <c r="E55" s="112"/>
      <c r="F55" s="111"/>
      <c r="G55" s="89"/>
      <c r="H55" s="89"/>
      <c r="I55" s="65"/>
      <c r="J55" s="65"/>
    </row>
    <row r="56" spans="1:12" x14ac:dyDescent="0.2">
      <c r="A56" s="89"/>
      <c r="B56" s="110"/>
      <c r="C56" s="111"/>
      <c r="D56" s="89"/>
      <c r="E56" s="112"/>
      <c r="F56" s="111"/>
      <c r="G56" s="89"/>
      <c r="H56" s="89"/>
      <c r="I56" s="65"/>
      <c r="J56" s="65"/>
    </row>
    <row r="57" spans="1:12" x14ac:dyDescent="0.2">
      <c r="A57" s="89"/>
      <c r="B57" s="110"/>
      <c r="C57" s="111"/>
      <c r="D57" s="89"/>
      <c r="E57" s="112"/>
      <c r="F57" s="111"/>
      <c r="G57" s="89"/>
      <c r="H57" s="89"/>
      <c r="I57" s="65"/>
      <c r="J57" s="65"/>
    </row>
    <row r="58" spans="1:12" x14ac:dyDescent="0.2">
      <c r="A58" s="89"/>
      <c r="B58" s="110"/>
      <c r="C58" s="111"/>
      <c r="D58" s="89"/>
      <c r="E58" s="112"/>
      <c r="F58" s="111"/>
      <c r="G58" s="89"/>
      <c r="H58" s="89"/>
      <c r="I58" s="65"/>
      <c r="J58" s="65"/>
    </row>
    <row r="59" spans="1:12" x14ac:dyDescent="0.2">
      <c r="A59" s="89"/>
      <c r="B59" s="110"/>
      <c r="C59" s="111"/>
      <c r="D59" s="89"/>
      <c r="E59" s="112"/>
      <c r="F59" s="111"/>
      <c r="G59" s="89"/>
      <c r="H59" s="89"/>
      <c r="I59" s="65"/>
      <c r="J59" s="65"/>
    </row>
    <row r="60" spans="1:12" x14ac:dyDescent="0.2">
      <c r="A60" s="89"/>
      <c r="B60" s="110"/>
      <c r="C60" s="111"/>
      <c r="D60" s="89"/>
      <c r="E60" s="112"/>
      <c r="F60" s="111"/>
      <c r="G60" s="89"/>
      <c r="H60" s="89"/>
    </row>
  </sheetData>
  <mergeCells count="29">
    <mergeCell ref="B11:C11"/>
    <mergeCell ref="A54:E54"/>
    <mergeCell ref="A49:F49"/>
    <mergeCell ref="A50:F50"/>
    <mergeCell ref="A51:F51"/>
    <mergeCell ref="B13:C13"/>
    <mergeCell ref="B16:C16"/>
    <mergeCell ref="A23:F23"/>
    <mergeCell ref="A24:F24"/>
    <mergeCell ref="A19:F19"/>
    <mergeCell ref="A20:F20"/>
    <mergeCell ref="A21:F21"/>
    <mergeCell ref="B15:C15"/>
    <mergeCell ref="K2:L2"/>
    <mergeCell ref="I24:J24"/>
    <mergeCell ref="K24:L24"/>
    <mergeCell ref="I2:J2"/>
    <mergeCell ref="A1:F1"/>
    <mergeCell ref="B4:C4"/>
    <mergeCell ref="B18:C18"/>
    <mergeCell ref="B8:C8"/>
    <mergeCell ref="B7:C7"/>
    <mergeCell ref="B6:C6"/>
    <mergeCell ref="A2:F2"/>
    <mergeCell ref="G2:H2"/>
    <mergeCell ref="G24:H24"/>
    <mergeCell ref="B10:C10"/>
    <mergeCell ref="B3:C3"/>
    <mergeCell ref="B5:C5"/>
  </mergeCells>
  <pageMargins left="0.51181102362204722" right="0.51181102362204722" top="0.78740157480314965" bottom="0.78740157480314965" header="0.31496062992125984" footer="0.31496062992125984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7">
    <pageSetUpPr fitToPage="1"/>
  </sheetPr>
  <dimension ref="A1:H27"/>
  <sheetViews>
    <sheetView showGridLines="0" view="pageBreakPreview" topLeftCell="A25" zoomScale="130" zoomScaleNormal="130" zoomScaleSheetLayoutView="130" workbookViewId="0">
      <selection activeCell="M17" sqref="M17"/>
    </sheetView>
  </sheetViews>
  <sheetFormatPr defaultRowHeight="12.75" x14ac:dyDescent="0.2"/>
  <cols>
    <col min="1" max="1" width="9.140625" style="43"/>
    <col min="2" max="2" width="26" style="43" customWidth="1"/>
    <col min="3" max="3" width="11.85546875" style="43" customWidth="1"/>
    <col min="4" max="5" width="9.140625" style="43"/>
    <col min="6" max="6" width="11.140625" style="43" customWidth="1"/>
    <col min="7" max="8" width="13.7109375" style="43" customWidth="1"/>
    <col min="9" max="16384" width="9.140625" style="43"/>
  </cols>
  <sheetData>
    <row r="1" spans="1:8" x14ac:dyDescent="0.2">
      <c r="A1" s="302" t="s">
        <v>206</v>
      </c>
      <c r="B1" s="302"/>
      <c r="C1" s="302"/>
      <c r="D1" s="302"/>
      <c r="E1" s="302"/>
      <c r="F1" s="302"/>
      <c r="G1" s="302"/>
      <c r="H1" s="302"/>
    </row>
    <row r="3" spans="1:8" x14ac:dyDescent="0.2">
      <c r="A3" s="297" t="s">
        <v>296</v>
      </c>
      <c r="B3" s="297"/>
      <c r="C3" s="297"/>
      <c r="D3" s="297"/>
      <c r="E3" s="297"/>
      <c r="F3" s="297"/>
      <c r="G3" s="297"/>
      <c r="H3" s="297"/>
    </row>
    <row r="4" spans="1:8" ht="38.25" x14ac:dyDescent="0.2">
      <c r="A4" s="44" t="s">
        <v>179</v>
      </c>
      <c r="B4" s="44" t="s">
        <v>194</v>
      </c>
      <c r="C4" s="45" t="s">
        <v>209</v>
      </c>
      <c r="D4" s="45" t="s">
        <v>248</v>
      </c>
      <c r="E4" s="45" t="s">
        <v>249</v>
      </c>
      <c r="F4" s="45" t="s">
        <v>205</v>
      </c>
      <c r="G4" s="45" t="s">
        <v>210</v>
      </c>
      <c r="H4" s="45" t="s">
        <v>211</v>
      </c>
    </row>
    <row r="5" spans="1:8" x14ac:dyDescent="0.2">
      <c r="A5" s="46">
        <v>1</v>
      </c>
      <c r="B5" s="47" t="s">
        <v>212</v>
      </c>
      <c r="C5" s="46" t="s">
        <v>143</v>
      </c>
      <c r="D5" s="139">
        <v>38</v>
      </c>
      <c r="E5" s="46">
        <f>D5*12</f>
        <v>456</v>
      </c>
      <c r="F5" s="48">
        <v>4.3499999999999996</v>
      </c>
      <c r="G5" s="49">
        <f>ROUND(D5*F5,2)</f>
        <v>165.3</v>
      </c>
      <c r="H5" s="49">
        <f>ROUND(E5*F5,2)</f>
        <v>1983.6</v>
      </c>
    </row>
    <row r="6" spans="1:8" x14ac:dyDescent="0.2">
      <c r="A6" s="46">
        <v>2</v>
      </c>
      <c r="B6" s="47" t="s">
        <v>213</v>
      </c>
      <c r="C6" s="46" t="s">
        <v>143</v>
      </c>
      <c r="D6" s="139">
        <v>38</v>
      </c>
      <c r="E6" s="46">
        <f>D6*12</f>
        <v>456</v>
      </c>
      <c r="F6" s="48">
        <v>6.05</v>
      </c>
      <c r="G6" s="49">
        <f>ROUND(D6*F6,2)</f>
        <v>229.9</v>
      </c>
      <c r="H6" s="49">
        <f t="shared" ref="H6" si="0">ROUND(E6*F6,2)</f>
        <v>2758.8</v>
      </c>
    </row>
    <row r="7" spans="1:8" x14ac:dyDescent="0.2">
      <c r="A7" s="46">
        <v>3</v>
      </c>
      <c r="B7" s="47" t="s">
        <v>228</v>
      </c>
      <c r="C7" s="46" t="s">
        <v>143</v>
      </c>
      <c r="D7" s="139">
        <v>3</v>
      </c>
      <c r="E7" s="46">
        <f>D7*12</f>
        <v>36</v>
      </c>
      <c r="F7" s="48">
        <v>6.98</v>
      </c>
      <c r="G7" s="49">
        <f>ROUND(D7*F7,2)</f>
        <v>20.94</v>
      </c>
      <c r="H7" s="49">
        <f>ROUND(E7*F7,2)</f>
        <v>251.28</v>
      </c>
    </row>
    <row r="8" spans="1:8" x14ac:dyDescent="0.2">
      <c r="A8" s="298" t="s">
        <v>214</v>
      </c>
      <c r="B8" s="299"/>
      <c r="C8" s="299"/>
      <c r="D8" s="299"/>
      <c r="E8" s="299"/>
      <c r="F8" s="300"/>
      <c r="G8" s="301">
        <f>SUM(G5:G7)</f>
        <v>416.14000000000004</v>
      </c>
      <c r="H8" s="301"/>
    </row>
    <row r="9" spans="1:8" x14ac:dyDescent="0.2">
      <c r="A9" s="298" t="s">
        <v>215</v>
      </c>
      <c r="B9" s="299"/>
      <c r="C9" s="299"/>
      <c r="D9" s="299"/>
      <c r="E9" s="299"/>
      <c r="F9" s="300"/>
      <c r="G9" s="301">
        <f>SUM(H5:H7)</f>
        <v>4993.6799999999994</v>
      </c>
      <c r="H9" s="301"/>
    </row>
    <row r="11" spans="1:8" x14ac:dyDescent="0.2">
      <c r="A11" s="297" t="s">
        <v>297</v>
      </c>
      <c r="B11" s="297"/>
      <c r="C11" s="297"/>
      <c r="D11" s="297"/>
      <c r="E11" s="297"/>
      <c r="F11" s="297"/>
      <c r="G11" s="297"/>
      <c r="H11" s="297"/>
    </row>
    <row r="12" spans="1:8" ht="38.25" x14ac:dyDescent="0.2">
      <c r="A12" s="44" t="s">
        <v>179</v>
      </c>
      <c r="B12" s="44" t="s">
        <v>194</v>
      </c>
      <c r="C12" s="45" t="s">
        <v>209</v>
      </c>
      <c r="D12" s="45" t="s">
        <v>248</v>
      </c>
      <c r="E12" s="45" t="s">
        <v>249</v>
      </c>
      <c r="F12" s="45" t="s">
        <v>205</v>
      </c>
      <c r="G12" s="45" t="s">
        <v>210</v>
      </c>
      <c r="H12" s="45" t="s">
        <v>211</v>
      </c>
    </row>
    <row r="13" spans="1:8" x14ac:dyDescent="0.2">
      <c r="A13" s="46">
        <v>1</v>
      </c>
      <c r="B13" s="47" t="s">
        <v>212</v>
      </c>
      <c r="C13" s="46" t="s">
        <v>143</v>
      </c>
      <c r="D13" s="139">
        <v>62</v>
      </c>
      <c r="E13" s="46">
        <f>D13*12</f>
        <v>744</v>
      </c>
      <c r="F13" s="48">
        <v>4.3499999999999996</v>
      </c>
      <c r="G13" s="49">
        <f>ROUND(D13*F13,2)</f>
        <v>269.7</v>
      </c>
      <c r="H13" s="49">
        <f>ROUND(E13*F13,2)</f>
        <v>3236.4</v>
      </c>
    </row>
    <row r="14" spans="1:8" x14ac:dyDescent="0.2">
      <c r="A14" s="46">
        <v>2</v>
      </c>
      <c r="B14" s="47" t="s">
        <v>213</v>
      </c>
      <c r="C14" s="46" t="s">
        <v>143</v>
      </c>
      <c r="D14" s="139">
        <v>66</v>
      </c>
      <c r="E14" s="46">
        <f>D14*12</f>
        <v>792</v>
      </c>
      <c r="F14" s="48">
        <v>6.05</v>
      </c>
      <c r="G14" s="49">
        <f>ROUND(D14*F14,2)</f>
        <v>399.3</v>
      </c>
      <c r="H14" s="49">
        <f t="shared" ref="H14" si="1">ROUND(E14*F14,2)</f>
        <v>4791.6000000000004</v>
      </c>
    </row>
    <row r="15" spans="1:8" x14ac:dyDescent="0.2">
      <c r="A15" s="46">
        <v>3</v>
      </c>
      <c r="B15" s="47" t="s">
        <v>228</v>
      </c>
      <c r="C15" s="46" t="s">
        <v>143</v>
      </c>
      <c r="D15" s="139">
        <v>4</v>
      </c>
      <c r="E15" s="46">
        <f>D15*12</f>
        <v>48</v>
      </c>
      <c r="F15" s="48">
        <v>6.98</v>
      </c>
      <c r="G15" s="49">
        <f>ROUND(D15*F15,2)</f>
        <v>27.92</v>
      </c>
      <c r="H15" s="49">
        <f>ROUND(E15*F15,2)</f>
        <v>335.04</v>
      </c>
    </row>
    <row r="16" spans="1:8" x14ac:dyDescent="0.2">
      <c r="A16" s="298" t="s">
        <v>214</v>
      </c>
      <c r="B16" s="299"/>
      <c r="C16" s="299"/>
      <c r="D16" s="299"/>
      <c r="E16" s="299"/>
      <c r="F16" s="300"/>
      <c r="G16" s="301">
        <f>SUM(G13:G15)</f>
        <v>696.92</v>
      </c>
      <c r="H16" s="301"/>
    </row>
    <row r="17" spans="1:8" x14ac:dyDescent="0.2">
      <c r="A17" s="298" t="s">
        <v>215</v>
      </c>
      <c r="B17" s="299"/>
      <c r="C17" s="299"/>
      <c r="D17" s="299"/>
      <c r="E17" s="299"/>
      <c r="F17" s="300"/>
      <c r="G17" s="301">
        <f>SUM(H13:H15)</f>
        <v>8363.0400000000009</v>
      </c>
      <c r="H17" s="301"/>
    </row>
    <row r="19" spans="1:8" x14ac:dyDescent="0.2">
      <c r="A19" s="297" t="s">
        <v>299</v>
      </c>
      <c r="B19" s="297"/>
      <c r="C19" s="297"/>
      <c r="D19" s="297"/>
      <c r="E19" s="297"/>
      <c r="F19" s="297"/>
      <c r="G19" s="297"/>
      <c r="H19" s="297"/>
    </row>
    <row r="20" spans="1:8" ht="38.25" x14ac:dyDescent="0.2">
      <c r="A20" s="44" t="s">
        <v>179</v>
      </c>
      <c r="B20" s="44" t="s">
        <v>194</v>
      </c>
      <c r="C20" s="45" t="s">
        <v>209</v>
      </c>
      <c r="D20" s="45" t="s">
        <v>248</v>
      </c>
      <c r="E20" s="45" t="s">
        <v>249</v>
      </c>
      <c r="F20" s="45" t="s">
        <v>205</v>
      </c>
      <c r="G20" s="45" t="s">
        <v>210</v>
      </c>
      <c r="H20" s="45" t="s">
        <v>211</v>
      </c>
    </row>
    <row r="21" spans="1:8" x14ac:dyDescent="0.2">
      <c r="A21" s="46">
        <v>1</v>
      </c>
      <c r="B21" s="47" t="s">
        <v>212</v>
      </c>
      <c r="C21" s="46" t="s">
        <v>143</v>
      </c>
      <c r="D21" s="139">
        <f>ROUND((40*1.2),2)</f>
        <v>48</v>
      </c>
      <c r="E21" s="46">
        <f>D21*12</f>
        <v>576</v>
      </c>
      <c r="F21" s="48">
        <v>4.3499999999999996</v>
      </c>
      <c r="G21" s="49">
        <f>ROUND(D21*F21,2)</f>
        <v>208.8</v>
      </c>
      <c r="H21" s="49">
        <f>ROUND(E21*F21,2)</f>
        <v>2505.6</v>
      </c>
    </row>
    <row r="22" spans="1:8" x14ac:dyDescent="0.2">
      <c r="A22" s="46">
        <v>2</v>
      </c>
      <c r="B22" s="47" t="s">
        <v>213</v>
      </c>
      <c r="C22" s="46" t="s">
        <v>143</v>
      </c>
      <c r="D22" s="139">
        <f>ROUND((30*1.2),2)</f>
        <v>36</v>
      </c>
      <c r="E22" s="46">
        <f>D22*12</f>
        <v>432</v>
      </c>
      <c r="F22" s="48">
        <v>6.05</v>
      </c>
      <c r="G22" s="49">
        <f>ROUND(D22*F22,2)</f>
        <v>217.8</v>
      </c>
      <c r="H22" s="49">
        <f t="shared" ref="H22" si="2">ROUND(E22*F22,2)</f>
        <v>2613.6</v>
      </c>
    </row>
    <row r="23" spans="1:8" x14ac:dyDescent="0.2">
      <c r="A23" s="46">
        <v>3</v>
      </c>
      <c r="B23" s="47" t="s">
        <v>228</v>
      </c>
      <c r="C23" s="46" t="s">
        <v>143</v>
      </c>
      <c r="D23" s="139">
        <v>3</v>
      </c>
      <c r="E23" s="46">
        <f>D23*12</f>
        <v>36</v>
      </c>
      <c r="F23" s="48">
        <v>6.98</v>
      </c>
      <c r="G23" s="49">
        <f>ROUND(D23*F23,2)</f>
        <v>20.94</v>
      </c>
      <c r="H23" s="49">
        <f>ROUND(E23*F23,2)</f>
        <v>251.28</v>
      </c>
    </row>
    <row r="24" spans="1:8" x14ac:dyDescent="0.2">
      <c r="A24" s="298" t="s">
        <v>214</v>
      </c>
      <c r="B24" s="299"/>
      <c r="C24" s="299"/>
      <c r="D24" s="299"/>
      <c r="E24" s="299"/>
      <c r="F24" s="300"/>
      <c r="G24" s="301">
        <f>SUM(G21:G23)</f>
        <v>447.54</v>
      </c>
      <c r="H24" s="301"/>
    </row>
    <row r="25" spans="1:8" x14ac:dyDescent="0.2">
      <c r="A25" s="298" t="s">
        <v>215</v>
      </c>
      <c r="B25" s="299"/>
      <c r="C25" s="299"/>
      <c r="D25" s="299"/>
      <c r="E25" s="299"/>
      <c r="F25" s="300"/>
      <c r="G25" s="301">
        <f>SUM(H21:H23)</f>
        <v>5370.48</v>
      </c>
      <c r="H25" s="301"/>
    </row>
    <row r="27" spans="1:8" x14ac:dyDescent="0.2">
      <c r="A27" s="296" t="s">
        <v>178</v>
      </c>
      <c r="B27" s="296"/>
      <c r="C27" s="296"/>
      <c r="D27" s="296"/>
      <c r="E27" s="296"/>
      <c r="F27" s="296"/>
      <c r="G27" s="296"/>
      <c r="H27" s="296"/>
    </row>
  </sheetData>
  <mergeCells count="17">
    <mergeCell ref="A1:H1"/>
    <mergeCell ref="G8:H8"/>
    <mergeCell ref="G9:H9"/>
    <mergeCell ref="A8:F8"/>
    <mergeCell ref="A9:F9"/>
    <mergeCell ref="A3:H3"/>
    <mergeCell ref="A27:H27"/>
    <mergeCell ref="A11:H11"/>
    <mergeCell ref="A16:F16"/>
    <mergeCell ref="G16:H16"/>
    <mergeCell ref="A17:F17"/>
    <mergeCell ref="G17:H17"/>
    <mergeCell ref="A24:F24"/>
    <mergeCell ref="G24:H24"/>
    <mergeCell ref="A25:F25"/>
    <mergeCell ref="G25:H25"/>
    <mergeCell ref="A19:H19"/>
  </mergeCells>
  <pageMargins left="0.511811024" right="0.511811024" top="0.78740157499999996" bottom="0.78740157499999996" header="0.31496062000000002" footer="0.31496062000000002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5</vt:i4>
      </vt:variant>
    </vt:vector>
  </HeadingPairs>
  <TitlesOfParts>
    <vt:vector size="12" baseType="lpstr">
      <vt:lpstr>QUADRO RESUMO</vt:lpstr>
      <vt:lpstr>ARACATUBA</vt:lpstr>
      <vt:lpstr>CAMPINAS</vt:lpstr>
      <vt:lpstr>PRESIDENTE PRUDENTE</vt:lpstr>
      <vt:lpstr>UNIFORMES</vt:lpstr>
      <vt:lpstr>INSUMOS</vt:lpstr>
      <vt:lpstr>DESCARTÁVEIS</vt:lpstr>
      <vt:lpstr>ARACATUBA!Area_de_impressao</vt:lpstr>
      <vt:lpstr>CAMPINAS!Area_de_impressao</vt:lpstr>
      <vt:lpstr>DESCARTÁVEIS!Area_de_impressao</vt:lpstr>
      <vt:lpstr>INSUMOS!Area_de_impressao</vt:lpstr>
      <vt:lpstr>'PRESIDENTE PRUDENTE'!Area_de_impressao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Andreia Alves de Lima</dc:creator>
  <cp:lastModifiedBy>Ingrid Wendy Carrel</cp:lastModifiedBy>
  <cp:lastPrinted>2023-04-25T10:51:57Z</cp:lastPrinted>
  <dcterms:created xsi:type="dcterms:W3CDTF">2022-05-12T19:05:37Z</dcterms:created>
  <dcterms:modified xsi:type="dcterms:W3CDTF">2023-09-06T13:21:15Z</dcterms:modified>
</cp:coreProperties>
</file>