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tabRatio="911" firstSheet="10" activeTab="18"/>
  </bookViews>
  <sheets>
    <sheet name="Quadro Resumo dos Serviços" sheetId="1" r:id="rId1"/>
    <sheet name="Quadro Resumo 1.1 a 1.3" sheetId="2" r:id="rId2"/>
    <sheet name="Item 1.1" sheetId="3" r:id="rId3"/>
    <sheet name="Servente de Limpeza Líder" sheetId="4" state="hidden" r:id="rId4"/>
    <sheet name="Limpador de Vidros" sheetId="5" state="hidden" r:id="rId5"/>
    <sheet name="Item 1.2" sheetId="6" r:id="rId6"/>
    <sheet name="Item 1.3" sheetId="7" r:id="rId7"/>
    <sheet name="Uniformes" sheetId="8" r:id="rId8"/>
    <sheet name="EPI's" sheetId="9" r:id="rId9"/>
    <sheet name="Insumos" sheetId="10" r:id="rId10"/>
    <sheet name="Ferramentas" sheetId="11" r:id="rId11"/>
    <sheet name="Equipamentos" sheetId="12" r:id="rId12"/>
    <sheet name="Item 02 - MOB Eventual" sheetId="13" r:id="rId13"/>
    <sheet name="Item 4 - Materiais" sheetId="14" r:id="rId14"/>
    <sheet name="Item 6 - Refrigeracao" sheetId="15" r:id="rId15"/>
    <sheet name="Item 7 - Extintores" sheetId="16" r:id="rId16"/>
    <sheet name="Itens 2, 3, 6, 7 e 8 - BDI" sheetId="17" r:id="rId17"/>
    <sheet name="Itens 4 e 5 - BDI" sheetId="18" r:id="rId18"/>
    <sheet name="Itens 3 e 5 - Desconto" sheetId="19" r:id="rId19"/>
    <sheet name="Produtividade IN 05-2017" sheetId="20" state="hidden" r:id="rId20"/>
    <sheet name="Produtividade x M2" sheetId="21" state="hidden" r:id="rId21"/>
    <sheet name="Proposta Comercial" sheetId="22" state="hidden" r:id="rId22"/>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shared_1_0_0">#N/A</definedName>
    <definedName name="__shared_1_0_1">#N/A</definedName>
    <definedName name="__shared_2_0_0">#N/A</definedName>
    <definedName name="__shared_2_0_1">#N/A</definedName>
    <definedName name="__shared_3_0_0">#N/A</definedName>
    <definedName name="__shared_3_0_1">#N/A</definedName>
    <definedName name="__shared_4_0_0">#N/A</definedName>
    <definedName name="__shared_4_0_1">#N/A</definedName>
    <definedName name="__shared_5_0_0">#N/A</definedName>
    <definedName name="__shared_5_0_1">#N/A</definedName>
    <definedName name="__shared_6_0_0">#N/A</definedName>
    <definedName name="__shared_6_0_1">#N/A</definedName>
    <definedName name="__shared_7_0_0">#N/A</definedName>
    <definedName name="__shared_7_0_1">#N/A</definedName>
    <definedName name="__shared_7_0_2">#N/A</definedName>
    <definedName name="__shared_7_0_3">#N/A</definedName>
    <definedName name="__shared_7_0_4">#N/A</definedName>
    <definedName name="__shared_7_0_5">#N/A</definedName>
    <definedName name="_xlnm._FilterDatabase" localSheetId="13" hidden="1">'Item 4 - Materiais'!$A$2:$I$191</definedName>
    <definedName name="_xlnm._FilterDatabase" localSheetId="15" hidden="1">'Item 7 - Extintores'!$A$2:$G$40</definedName>
    <definedName name="_xlfn.IFERROR" hidden="1">#NAME?</definedName>
    <definedName name="_xlnm.Print_Area" localSheetId="2">'Item 1.1'!$A$1:$K$172</definedName>
    <definedName name="_xlnm.Print_Area" localSheetId="5">'Item 1.2'!$A$1:$K$173</definedName>
    <definedName name="_xlnm.Print_Area" localSheetId="6">'Item 1.3'!$A$1:$K$178</definedName>
    <definedName name="_xlnm.Print_Area" localSheetId="14">'Item 6 - Refrigeracao'!$A$1:$G$19</definedName>
    <definedName name="_xlnm.Print_Area" localSheetId="4">#N/A</definedName>
    <definedName name="_xlnm.Print_Area" localSheetId="0">'Quadro Resumo dos Serviços'!$A$1:$H$36</definedName>
    <definedName name="_xlnm.Print_Area" localSheetId="3">#N/A</definedName>
    <definedName name="TabComposicao" localSheetId="8">'[4]Composição'!$A$2:$G$20</definedName>
    <definedName name="TabComposicao" localSheetId="9">'[4]Composição'!$A$2:$G$20</definedName>
    <definedName name="TabComposicao">'[1]Composição'!$A$2:$G$20</definedName>
    <definedName name="TabelaValores" localSheetId="8">#REF!</definedName>
    <definedName name="TabelaValores" localSheetId="11">#REF!</definedName>
    <definedName name="TabelaValores" localSheetId="10">#REF!</definedName>
    <definedName name="TabelaValores" localSheetId="9">#REF!</definedName>
    <definedName name="TabelaValores" localSheetId="13">#REF!</definedName>
    <definedName name="TabelaValores" localSheetId="14">#REF!</definedName>
    <definedName name="TabelaValores" localSheetId="15">'Item 7 - Extintores'!$I$2:$M$8</definedName>
    <definedName name="TabelaValores" localSheetId="7">#REF!</definedName>
    <definedName name="TabelaValores">#REF!</definedName>
    <definedName name="TabRef" localSheetId="8">'[6]Tabela de Referencia'!$A$11:$AT$83</definedName>
    <definedName name="TabRef" localSheetId="9">'[6]Tabela de Referencia'!$A$11:$AT$83</definedName>
    <definedName name="TabRef">'[2]Tabela de Referencia'!$A$11:$AT$83</definedName>
    <definedName name="Z_1BEA9B7E_10D0_469F_80AE_6038015999BD_.wvu.FilterData" localSheetId="13" hidden="1">'Item 4 - Materiais'!$A$2:$I$191</definedName>
    <definedName name="Z_6459C7AF_D31A_4606_8B4A_24C816AABF5F_.wvu.FilterData" localSheetId="13" hidden="1">'Item 4 - Materiais'!$A$2:$I$191</definedName>
  </definedNames>
  <calcPr fullCalcOnLoad="1"/>
</workbook>
</file>

<file path=xl/comments4.xml><?xml version="1.0" encoding="utf-8"?>
<comments xmlns="http://schemas.openxmlformats.org/spreadsheetml/2006/main">
  <authors>
    <author>A satisfied Microsoft Office User</author>
  </authors>
  <commentList>
    <comment ref="K20" authorId="0">
      <text>
        <r>
          <rPr>
            <b/>
            <sz val="9"/>
            <rFont val="Segoe UI"/>
            <family val="2"/>
          </rPr>
          <t>NOTA 1: O Módulo 1 refere-se ao valor mensal devido ao empregado pela prestação do serviço no período de 12 meses.</t>
        </r>
      </text>
    </comment>
    <comment ref="K24" authorId="0">
      <text>
        <r>
          <rPr>
            <b/>
            <sz val="9"/>
            <rFont val="Segoe UI"/>
            <family val="2"/>
          </rPr>
          <t xml:space="preserve">SALÁRIO BASE PROPORCIONAL À CARGA HORÁRIA SEMANAL
</t>
        </r>
      </text>
    </comment>
    <comment ref="K33" authorId="0">
      <text>
        <r>
          <rPr>
            <b/>
            <sz val="9"/>
            <rFont val="Segoe UI"/>
            <family val="2"/>
          </rPr>
          <t>Nota 1: Como a planilha de custos e formação de preços é calculada mensalmente, provisiona-se proporcionalmente 1/12 (um doze avos) dos valores referentes a gratificação natalina, férias e adicional de férias. (Redação dada pela Instrução Normativa nº 7, de 2018)
Nota 2: O adicional de férias contido no Submódulo 2.1 corresponde a 1/3 (um terço) da remuneração que por sua vez é divido por 12 (doze) conforme Nota 1 acima.
Nota 3: Levando em consideração a vigência contratual prevista no art. 57 da Lei nº 8.666, de 23 de junho de 1993, a rubrica férias tem como objetivo principal suprir a necessidade do pagamento das férias remuneradas ao final do contrato de 12 meses. Esta rubrica, quando da prorrogação contratual, torna-se custo não renovável.  (Incluído pela Instrução Normativa nº 7, de 2018)</t>
        </r>
        <r>
          <rPr>
            <sz val="9"/>
            <rFont val="Segoe UI"/>
            <family val="2"/>
          </rPr>
          <t xml:space="preserve">
</t>
        </r>
      </text>
    </comment>
    <comment ref="K41" authorId="0">
      <text>
        <r>
          <rPr>
            <b/>
            <sz val="9"/>
            <rFont val="Segoe UI"/>
            <family val="2"/>
          </rPr>
          <t>Nota 1: Os percentuais dos encargos previdenciários, do FGTS e demais contribuições são aqueles estabelecidos pela legislação vigente.
Nota 2: O SAT a depender do grau de risco do serviço irá variar entre 1%, para risco leve, de 2%, para risco médio, e de 3% de risco grave.
Nota 3: Esses percentuais incidem sobre o Módulo 1, o Submódulo 2.1. (Redação dada pela Instrução Normativa nº 7, de 2018)</t>
        </r>
      </text>
    </comment>
    <comment ref="K49" authorId="0">
      <text>
        <r>
          <rPr>
            <b/>
            <sz val="9"/>
            <rFont val="Segoe UI"/>
            <family val="2"/>
          </rPr>
          <t>INFORMAÇÃO A SER PREENCHIDA PELA LICITANTE (entre 1% e 3%)</t>
        </r>
      </text>
    </comment>
    <comment ref="K57" authorId="0">
      <text>
        <r>
          <rPr>
            <b/>
            <sz val="9"/>
            <rFont val="Segoe UI"/>
            <family val="2"/>
          </rPr>
          <t>Nota 1: O valor informado deverá ser o custo real do benefício (descontado o valor eventualmente pago pelo empregado).
Nota 2: Observar a previsão dos benefícios contidos em Acordos, Convenções e Dissídios Coletivos de Trabalho e atentar-se ao disposto no art. 6º desta Instrução Normativa.</t>
        </r>
      </text>
    </comment>
    <comment ref="K86" authorId="0">
      <text>
        <r>
          <rPr>
            <b/>
            <sz val="9"/>
            <rFont val="Segoe UI"/>
            <family val="2"/>
          </rPr>
          <t>Nota 1: Os itens que contemplam o módulo 4 se referem ao custo dos dias trabalhados pelo repositor/substituto, quando o empregado alocado na prestação de serviço estiver ausente, conforme as previsões estabelecidas na legislação.</t>
        </r>
      </text>
    </comment>
    <comment ref="K127" authorId="0">
      <text>
        <r>
          <rPr>
            <b/>
            <sz val="9"/>
            <rFont val="Segoe UI"/>
            <family val="2"/>
          </rPr>
          <t xml:space="preserve">Nota: Valores mensais por empregado
</t>
        </r>
      </text>
    </comment>
    <comment ref="D142" authorId="0">
      <text>
        <r>
          <rPr>
            <b/>
            <sz val="9"/>
            <rFont val="Segoe UI"/>
            <family val="2"/>
          </rPr>
          <t xml:space="preserve">ATENÇÃO: OS PERCENTUAIS DEVEM SER AJUSTADOS AO REGIME DE FATURAMENTO DA LICITANTE.
OS PERCENTUAIS DE REFERÊNCIA SÃO PARA EMPRESAS QUE RECOLHEM SOBRE O LUCRO REAL. </t>
        </r>
      </text>
    </comment>
  </commentList>
</comments>
</file>

<file path=xl/comments5.xml><?xml version="1.0" encoding="utf-8"?>
<comments xmlns="http://schemas.openxmlformats.org/spreadsheetml/2006/main">
  <authors>
    <author>A satisfied Microsoft Office User</author>
  </authors>
  <commentList>
    <comment ref="L20" authorId="0">
      <text>
        <r>
          <rPr>
            <b/>
            <sz val="9"/>
            <rFont val="Segoe UI"/>
            <family val="2"/>
          </rPr>
          <t>NOTA 1: O Módulo 1 refere-se ao valor mensal devido ao empregado pela prestação do serviço no período de 12 meses.</t>
        </r>
      </text>
    </comment>
    <comment ref="L24" authorId="0">
      <text>
        <r>
          <rPr>
            <b/>
            <sz val="9"/>
            <rFont val="Segoe UI"/>
            <family val="2"/>
          </rPr>
          <t xml:space="preserve">SALÁRIO BASE PROPORCIONAL À CARGA HORÁRIA SEMANAL
</t>
        </r>
      </text>
    </comment>
    <comment ref="L33" authorId="0">
      <text>
        <r>
          <rPr>
            <b/>
            <sz val="9"/>
            <rFont val="Segoe UI"/>
            <family val="2"/>
          </rPr>
          <t>Nota 1: Como a planilha de custos e formação de preços é calculada mensalmente, provisiona-se proporcionalmente 1/12 (um doze avos) dos valores referentes a gratificação natalina, férias e adicional de férias. (Redação dada pela Instrução Normativa nº 7, de 2018)
Nota 2: O adicional de férias contido no Submódulo 2.1 corresponde a 1/3 (um terço) da remuneração que por sua vez é divido por 12 (doze) conforme Nota 1 acima.
Nota 3: Levando em consideração a vigência contratual prevista no art. 57 da Lei nº 8.666, de 23 de junho de 1993, a rubrica férias tem como objetivo principal suprir a necessidade do pagamento das férias remuneradas ao final do contrato de 12 meses. Esta rubrica, quando da prorrogação contratual, torna-se custo não renovável.  (Incluído pela Instrução Normativa nº 7, de 2018)</t>
        </r>
        <r>
          <rPr>
            <sz val="9"/>
            <rFont val="Segoe UI"/>
            <family val="2"/>
          </rPr>
          <t xml:space="preserve">
</t>
        </r>
      </text>
    </comment>
    <comment ref="L41" authorId="0">
      <text>
        <r>
          <rPr>
            <b/>
            <sz val="9"/>
            <rFont val="Segoe UI"/>
            <family val="2"/>
          </rPr>
          <t>Nota 1: Os percentuais dos encargos previdenciários, do FGTS e demais contribuições são aqueles estabelecidos pela legislação vigente.
Nota 2: O SAT a depender do grau de risco do serviço irá variar entre 1%, para risco leve, de 2%, para risco médio, e de 3% de risco grave.
Nota 3: Esses percentuais incidem sobre o Módulo 1, o Submódulo 2.1. (Redação dada pela Instrução Normativa nº 7, de 2018)</t>
        </r>
      </text>
    </comment>
    <comment ref="K49" authorId="0">
      <text>
        <r>
          <rPr>
            <b/>
            <sz val="9"/>
            <rFont val="Segoe UI"/>
            <family val="2"/>
          </rPr>
          <t>INFORMAÇÃO A SER PREENCHIDA PELA LICITANTE (entre 1% e 3%)</t>
        </r>
      </text>
    </comment>
    <comment ref="L57" authorId="0">
      <text>
        <r>
          <rPr>
            <b/>
            <sz val="9"/>
            <rFont val="Segoe UI"/>
            <family val="2"/>
          </rPr>
          <t>Nota 1: O valor informado deverá ser o custo real do benefício (descontado o valor eventualmente pago pelo empregado).
Nota 2: Observar a previsão dos benefícios contidos em Acordos, Convenções e Dissídios Coletivos de Trabalho e atentar-se ao disposto no art. 6º desta Instrução Normativa.</t>
        </r>
      </text>
    </comment>
    <comment ref="L86" authorId="0">
      <text>
        <r>
          <rPr>
            <b/>
            <sz val="9"/>
            <rFont val="Segoe UI"/>
            <family val="2"/>
          </rPr>
          <t>Nota 1: Os itens que contemplam o módulo 4 se referem ao custo dos dias trabalhados pelo repositor/substituto, quando o empregado alocado na prestação de serviço estiver ausente, conforme as previsões estabelecidas na legislação.</t>
        </r>
      </text>
    </comment>
    <comment ref="L127" authorId="0">
      <text>
        <r>
          <rPr>
            <b/>
            <sz val="9"/>
            <rFont val="Segoe UI"/>
            <family val="2"/>
          </rPr>
          <t xml:space="preserve">Nota: Valores mensais por empregado
</t>
        </r>
      </text>
    </comment>
    <comment ref="D142" authorId="0">
      <text>
        <r>
          <rPr>
            <b/>
            <sz val="9"/>
            <rFont val="Segoe UI"/>
            <family val="2"/>
          </rPr>
          <t xml:space="preserve">ATENÇÃO: OS PERCENTUAIS DEVEM SER AJUSTADOS AO REGIME DE FATURAMENTO DA LICITANTE.
OS PERCENTUAIS DE REFERÊNCIA SÃO PARA EMPRESAS QUE RECOLHEM SOBRE O LUCRO REAL. </t>
        </r>
      </text>
    </comment>
  </commentList>
</comments>
</file>

<file path=xl/comments6.xml><?xml version="1.0" encoding="utf-8"?>
<comments xmlns="http://schemas.openxmlformats.org/spreadsheetml/2006/main">
  <authors>
    <author>A satisfied Microsoft Office User</author>
  </authors>
  <commentList>
    <comment ref="L20" authorId="0">
      <text>
        <r>
          <rPr>
            <b/>
            <sz val="9"/>
            <rFont val="Segoe UI"/>
            <family val="2"/>
          </rPr>
          <t>NOTA 1: O Módulo 1 refere-se ao valor mensal devido ao empregado pela prestação do serviço no período de 12 meses.</t>
        </r>
      </text>
    </comment>
    <comment ref="L32" authorId="0">
      <text>
        <r>
          <rPr>
            <b/>
            <sz val="9"/>
            <rFont val="Segoe UI"/>
            <family val="2"/>
          </rPr>
          <t>Nota 1: Como a planilha de custos e formação de preços é calculada mensalmente, provisiona-se proporcionalmente 1/12 (um doze avos) dos valores referentes a gratificação natalina, férias e adicional de férias. (Redação dada pela Instrução Normativa nº 7, de 2018)
Nota 2: O adicional de férias contido no Submódulo 2.1 corresponde a 1/3 (um terço) da remuneração que por sua vez é divido por 12 (doze) conforme Nota 1 acima.
Nota 3: Levando em consideração a vigência contratual prevista no art. 57 da Lei nº 8.666, de 23 de junho de 1993, a rubrica férias tem como objetivo principal suprir a necessidade do pagamento das férias remuneradas ao final do contrato de 12 meses. Esta rubrica, quando da prorrogação contratual, torna-se custo não renovável.  (Incluído pela Instrução Normativa nº 7, de 2018)</t>
        </r>
        <r>
          <rPr>
            <sz val="9"/>
            <rFont val="Segoe UI"/>
            <family val="2"/>
          </rPr>
          <t xml:space="preserve">
</t>
        </r>
      </text>
    </comment>
    <comment ref="L40" authorId="0">
      <text>
        <r>
          <rPr>
            <b/>
            <sz val="9"/>
            <rFont val="Segoe UI"/>
            <family val="2"/>
          </rPr>
          <t>Nota 1: Os percentuais dos encargos previdenciários, do FGTS e demais contribuições são aqueles estabelecidos pela legislação vigente.
Nota 2: O SAT a depender do grau de risco do serviço irá variar entre 1%, para risco leve, de 2%, para risco médio, e de 3% de risco grave.
Nota 3: Esses percentuais incidem sobre o Módulo 1, o Submódulo 2.1. (Redação dada pela Instrução Normativa nº 7, de 2018)</t>
        </r>
      </text>
    </comment>
    <comment ref="K50" authorId="0">
      <text>
        <r>
          <rPr>
            <b/>
            <sz val="9"/>
            <rFont val="Segoe UI"/>
            <family val="2"/>
          </rPr>
          <t>INFORMAÇÃO A SER PREENCHIDA PELA LICITANTE (entre 1% e 3%)</t>
        </r>
      </text>
    </comment>
    <comment ref="L56" authorId="0">
      <text>
        <r>
          <rPr>
            <b/>
            <sz val="9"/>
            <rFont val="Segoe UI"/>
            <family val="2"/>
          </rPr>
          <t>Nota 1: O valor informado deverá ser o custo real do benefício (descontado o valor eventualmente pago pelo empregado).
Nota 2: Observar a previsão dos benefícios contidos em Acordos, Convenções e Dissídios Coletivos de Trabalho e atentar-se ao disposto no art. 6º desta Instrução Normativa.</t>
        </r>
      </text>
    </comment>
    <comment ref="L126" authorId="0">
      <text>
        <r>
          <rPr>
            <b/>
            <sz val="9"/>
            <rFont val="Segoe UI"/>
            <family val="2"/>
          </rPr>
          <t xml:space="preserve">Nota: Valores mensais por empregado
</t>
        </r>
      </text>
    </comment>
    <comment ref="D152" authorId="0">
      <text>
        <r>
          <rPr>
            <b/>
            <sz val="9"/>
            <rFont val="Segoe UI"/>
            <family val="2"/>
          </rPr>
          <t xml:space="preserve">ATENÇÃO: OS PERCENTUAIS DEVEM SER AJUSTADOS AO REGIME DE FATURAMENTO DA LICITANTE.
OS PERCENTUAIS DE REFERÊNCIA SÃO PARA EMPRESAS QUE RECOLHEM SOBRE O LUCRO REAL. </t>
        </r>
      </text>
    </comment>
    <comment ref="L102" authorId="0">
      <text>
        <r>
          <rPr>
            <b/>
            <sz val="9"/>
            <rFont val="Segoe UI"/>
            <family val="2"/>
          </rPr>
          <t>Nota 1: Os itens que contemplam o módulo 4 se referem ao custo dos dias trabalhados pelo repositor/substituto, quando o empregado alocado na prestação de serviço estiver ausente, conforme as previsões estabelecidas na legislação.</t>
        </r>
        <r>
          <rPr>
            <sz val="9"/>
            <rFont val="Segoe UI"/>
            <family val="2"/>
          </rPr>
          <t xml:space="preserve">
</t>
        </r>
      </text>
    </comment>
  </commentList>
</comments>
</file>

<file path=xl/sharedStrings.xml><?xml version="1.0" encoding="utf-8"?>
<sst xmlns="http://schemas.openxmlformats.org/spreadsheetml/2006/main" count="3027" uniqueCount="1167">
  <si>
    <t>DADOS REFERENTES À CONTRATAÇÃO E DISCRIMINAÇÃO DOS SERVIÇOS</t>
  </si>
  <si>
    <t>A</t>
  </si>
  <si>
    <t>Data de Apresentação da Proposta (Dia/Mês/Ano):</t>
  </si>
  <si>
    <t>B</t>
  </si>
  <si>
    <t>Município/UF:</t>
  </si>
  <si>
    <t>C</t>
  </si>
  <si>
    <t>D</t>
  </si>
  <si>
    <t>Classificação Brasileira de Ocupações (CBO)</t>
  </si>
  <si>
    <t>E</t>
  </si>
  <si>
    <t>Categoria Profissional (vinculada à execução contratual)</t>
  </si>
  <si>
    <t>F</t>
  </si>
  <si>
    <t>G</t>
  </si>
  <si>
    <t>H</t>
  </si>
  <si>
    <t>Mês e Ano da CCT/Sentença Normativa/Dissídio:</t>
  </si>
  <si>
    <t>I</t>
  </si>
  <si>
    <t>Data Base da Categoria</t>
  </si>
  <si>
    <t>J</t>
  </si>
  <si>
    <t>Número de Meses de Execução Contratual:</t>
  </si>
  <si>
    <t>MÓDULO 1 - COMPOSIÇÃO DA REMUNERAÇÃO</t>
  </si>
  <si>
    <t>Percentual</t>
  </si>
  <si>
    <t>VALOR</t>
  </si>
  <si>
    <t>Salário Base</t>
  </si>
  <si>
    <t>Outros (Especificar)</t>
  </si>
  <si>
    <t>TOTAL - MÓDULO 1 - REMUNERAÇÃO</t>
  </si>
  <si>
    <t>MÓDULO 2 - ENCARGOS E BENEFÍCIOS ANUAIS, MENSAIS E DIÁRIOS</t>
  </si>
  <si>
    <t>Alíquota</t>
  </si>
  <si>
    <t>Adicional de Férias</t>
  </si>
  <si>
    <t>TOTAL Submódulo 2.1</t>
  </si>
  <si>
    <t>Submódulo 2.2 - Encargos Previdenciários (GPS), Fundo de Garantia (FGTS) e Outas Contribuições</t>
  </si>
  <si>
    <t>TOTAL Submódulo 2.2</t>
  </si>
  <si>
    <t>Submódulo 2.3 - Benefícios Mensais e Diários</t>
  </si>
  <si>
    <t>Auxílio Alimentação</t>
  </si>
  <si>
    <t>Dias/Mês</t>
  </si>
  <si>
    <t>Valor Descontado do Trabalhador</t>
  </si>
  <si>
    <t>Nº Bilhetes</t>
  </si>
  <si>
    <t>Valor da Tarifa</t>
  </si>
  <si>
    <t>TOTAL Submódulo 2.3</t>
  </si>
  <si>
    <t>TOTAL - MÓDULO 2 - ENCARGOS E BENEFÍCIOS ANUAIS, MENSAIS E DIÁRIOS</t>
  </si>
  <si>
    <t>MÓDULO 3 - PROVISÃO PARA RESCISÃO</t>
  </si>
  <si>
    <t>Aviso Prévio Indenizado</t>
  </si>
  <si>
    <t>Incidência do FGTS sobre o Aviso Prévio Indenizado</t>
  </si>
  <si>
    <t>Aviso Prévio Trabalhado</t>
  </si>
  <si>
    <t>Incidência dos encargos do submódulo 2.2 sobre o Aviso Prévio Trabalhado</t>
  </si>
  <si>
    <t>TOTAL - MÓDULO 3 - PROVISÃO PARA RESCISÃO</t>
  </si>
  <si>
    <t>MÓDULO 4 - CUSTO DE REPOSIÇÃO DO PROFISSIONAL AUSENTE</t>
  </si>
  <si>
    <t>Percentual Anual de Incidência</t>
  </si>
  <si>
    <t>Percentual de Incidência Anual de Afastamento Maternidade</t>
  </si>
  <si>
    <t>Subtotal do Submódulo 4.1</t>
  </si>
  <si>
    <t>Incidência do Submódulo 2.2 sobre o Submódulo 4.1</t>
  </si>
  <si>
    <t>TOTAL Submódulo 4.1</t>
  </si>
  <si>
    <t>TOTAL Submódulo 4.2</t>
  </si>
  <si>
    <t>TOTAL - MÓDULO 4 - CUSTO DE REPOSIÇÃO DO PROFISSIONAL AUSENTE</t>
  </si>
  <si>
    <t>MÓDULO 5 - INSUMOS DIVERSOS</t>
  </si>
  <si>
    <t>TOTAL - MÓDULO 5 - INSUMOS DIVERSOS</t>
  </si>
  <si>
    <t>MÓDULO 6 - CUSTOS INDIRETOS, TRIBUTOS E LUCRO</t>
  </si>
  <si>
    <t>Base de Cálculo</t>
  </si>
  <si>
    <t>Custos Indiretos</t>
  </si>
  <si>
    <t>Lucro</t>
  </si>
  <si>
    <t>Tributos</t>
  </si>
  <si>
    <t>Tributos Federais</t>
  </si>
  <si>
    <t>PIS</t>
  </si>
  <si>
    <t>COFINS</t>
  </si>
  <si>
    <t>OUTROS</t>
  </si>
  <si>
    <t>Tributos Municipais</t>
  </si>
  <si>
    <t>ISSQN</t>
  </si>
  <si>
    <t>Outros Tributos</t>
  </si>
  <si>
    <t>Total das alíquotas dos tributos</t>
  </si>
  <si>
    <t>TOTAL - MÓDULO 6 - CUSTOS INDIRETOS, TRIBUTOS E LUCRO</t>
  </si>
  <si>
    <t>Módulo 1 - Composição da Remuneração</t>
  </si>
  <si>
    <t>Módulo 2 - Encargos e Benefícios Anuais, Mensais e Diários</t>
  </si>
  <si>
    <t>Módulo 3 - Provisão para Rescisão</t>
  </si>
  <si>
    <t>Módulo 4 - Custo para Reposição do Profissional Ausente</t>
  </si>
  <si>
    <t>Módulo 5 - Insumos Diversos</t>
  </si>
  <si>
    <t>Módulo 6 - Custos Indiretos, Tributos e Lucros</t>
  </si>
  <si>
    <t>VALOR TOTAL POR EMPREGADO</t>
  </si>
  <si>
    <t>Objeto:</t>
  </si>
  <si>
    <t>K</t>
  </si>
  <si>
    <t>Unidade de Medida</t>
  </si>
  <si>
    <t>L</t>
  </si>
  <si>
    <t xml:space="preserve">Submódulo 2.1 </t>
  </si>
  <si>
    <t>Base de Cálculo: Módulo 1 + Submódulo 2.1</t>
  </si>
  <si>
    <t>Auxílio Refeição</t>
  </si>
  <si>
    <t xml:space="preserve">Valor do Benefício </t>
  </si>
  <si>
    <t>Outros (preencher)</t>
  </si>
  <si>
    <t xml:space="preserve">Nome do Sindicato / Registro da CCT no MTE </t>
  </si>
  <si>
    <t>Submódulo 4.1 - Substituto nas Ausências Legais</t>
  </si>
  <si>
    <t>Substituto na Cobertura de Férias</t>
  </si>
  <si>
    <t>Substituto na Cobertura de Ausências Legais</t>
  </si>
  <si>
    <t>Número de ausências por ano (dias)</t>
  </si>
  <si>
    <t>Substituto na Cobertura de Licença Paternidade</t>
  </si>
  <si>
    <t>Substituto na Cobertura de Ausências por Acidente de Trabalho</t>
  </si>
  <si>
    <t>Substituto na Cobertura de Afastamento Maternidade</t>
  </si>
  <si>
    <t>Submódulo 4.2 - Substituto na Intrajornada</t>
  </si>
  <si>
    <t>Substituto na cobertura de Intervalo para repouso ou alimentação</t>
  </si>
  <si>
    <t>CUSTOS DIRETOS (SOMATÓRIA DOS MÓDULOS 1+2+3+4+5)</t>
  </si>
  <si>
    <t xml:space="preserve">Número do  Processo: </t>
  </si>
  <si>
    <t xml:space="preserve">Número da Licitação: </t>
  </si>
  <si>
    <t>Pregão Eletrônico nº XX/20XX</t>
  </si>
  <si>
    <t>Adicional de Periculosidade</t>
  </si>
  <si>
    <t>Adicional de Insalubridade</t>
  </si>
  <si>
    <t xml:space="preserve">percentual </t>
  </si>
  <si>
    <t>Adicional Noturno</t>
  </si>
  <si>
    <t xml:space="preserve">E </t>
  </si>
  <si>
    <t>Adicional de Hora Noturna Reduzida</t>
  </si>
  <si>
    <t>Substituto na cobertura de outras ausências (especificar)</t>
  </si>
  <si>
    <t>QUADRO-RESUMO DO CUSTO POR EMPREGADO</t>
  </si>
  <si>
    <t xml:space="preserve">Multa do FGTS e contribuição social sobre o Aviso Prévio Indenizado </t>
  </si>
  <si>
    <t>Multa do FGTS e contribuição social sobre o Aviso Prévio Trabalhado</t>
  </si>
  <si>
    <t>* Atenção: Os percentuais de B e C vinculam-se à opção de pagamento pelo fato gerador. Vide Caderno de Logística do Pagamento por Fato Gerador https://www.comprasgovernamentais.gov.br/images/conteudo/ArquivosCGNOR/fato_gerador.pdf</t>
  </si>
  <si>
    <t xml:space="preserve">Aviso Prévio Indenizado: Percentual cf. Acórdão do TCU nº 1904/2017 - Plenário: (5,55%) x (1/12) = 0,46% </t>
  </si>
  <si>
    <t>Incidência do FGTS sobre o Aviso Prévio Indenizado: Súmula nº 305 do TST + Acórdão do TCU nº 2217/2010 - Plenário: (8%) x (0,46%) = 0,03%</t>
  </si>
  <si>
    <t>Aviso Prévio Trabalhado: Percentual cf. Acórdãos do TCU nº 3006/2010 e 1094/2007 - Plenário</t>
  </si>
  <si>
    <t>Substituto na Cobertura de Ausências Legais: 5,96 (número de ausências médias/ano, dado do IBGE) / 365 (dias do ano) = 1,63%</t>
  </si>
  <si>
    <t>Substituto na Cobertura de Licença Paternidade: Percentual estatístico do IBGE: 1,5% de trabalhadores são pais durante o ano</t>
  </si>
  <si>
    <t>Substituto na Cobertura de Ausências por Acidente de Trabalho: Base de Cálculo:  [(15/30)/12] x 0,08 x 100 = 0,33% , OBS: 15 = número de dias em que o empregado repousa e contratada remunera, 30 = número de dias no mês, 12 = número de meses no ano, 8% = média dos trabalhadores que sofrem, acidente/ano, de acordo com estatísticas do IBGE ,100% = salário integral</t>
  </si>
  <si>
    <t>Substituto na Cobertura de Afastamento Maternidade: [0,02 x (4/12)/12 x 100] = 0,055%, OBS: 0,02 = índice de ocorrência. Dado utilizado do IBGE; 4/12 = 4 meses de licença maternidade por ano; 12 = meses do ano; 100 = porcentagem</t>
  </si>
  <si>
    <t>PIS: 0,65% - Lucro Presumido</t>
  </si>
  <si>
    <t>Cofins: 3,0% - Lucro Presumido</t>
  </si>
  <si>
    <t>RAT (%)</t>
  </si>
  <si>
    <t>FAP (%)</t>
  </si>
  <si>
    <t>Tipo de Serviço (CATSER)</t>
  </si>
  <si>
    <t>Submódulo 2.1 - 13º (décimo terceiro) Salário, Férias e Adicional de Férias</t>
  </si>
  <si>
    <t>13º (décimo terceiro) Salário</t>
  </si>
  <si>
    <t>Qtde. estimada de horas/mês</t>
  </si>
  <si>
    <t xml:space="preserve">Valor da hora com adicional </t>
  </si>
  <si>
    <t>Porcentual (50% ou 100%)</t>
  </si>
  <si>
    <t>horas mensais</t>
  </si>
  <si>
    <t>Carga horária mensal (quantidade de horas)</t>
  </si>
  <si>
    <t>Auxílio Transporte</t>
  </si>
  <si>
    <t>Auxílio Creche</t>
  </si>
  <si>
    <t>Seguro de Vida</t>
  </si>
  <si>
    <t xml:space="preserve">Valor Descontado do Trabalhador </t>
  </si>
  <si>
    <t>A autorização para o desconto deve estar prevista na CCT + A licitante deverá comprovar inscrição no PAT e deverá ser realizada até o limite permitido no Art. 458, § 1º da CLT (20% sobre o valor diário do benefício)</t>
  </si>
  <si>
    <t>Salário Normativo</t>
  </si>
  <si>
    <t>Valor Unitário</t>
  </si>
  <si>
    <t>Porcentual anual de incidência</t>
  </si>
  <si>
    <t>Auxílio Creche: Percentual Anual de Incidência - Memória de Cálculo: Quantidade de crianças matriculadas em creches no Estado de SP / divido pela quantidade de mulheres entre 10 e 55 anos vivendo no Estado de SP. A definição da fórmula foi extraída do Caderno de Logística para Serviços de Limpeza, Asseio e Conservação do MPDG</t>
  </si>
  <si>
    <t xml:space="preserve">Valor Anual </t>
  </si>
  <si>
    <t>Valor Mensal</t>
  </si>
  <si>
    <t>Valor Descontado do Trabalhador (6%)</t>
  </si>
  <si>
    <t xml:space="preserve">Adicional de hora extra </t>
  </si>
  <si>
    <t xml:space="preserve">Férias </t>
  </si>
  <si>
    <t>M</t>
  </si>
  <si>
    <t xml:space="preserve">Salário Mínimo Nacional </t>
  </si>
  <si>
    <t>INSS (Lei nº 8.212/1991, art. 22, I)</t>
  </si>
  <si>
    <t>Salário Educação (Decreto nº 87.043/1982, art. 3, I)</t>
  </si>
  <si>
    <t>Seguro Acidente de Trabalho = RAT x FAP (Decreto nº 3.048/1999)</t>
  </si>
  <si>
    <t>SESC ou SESI (Lei nº 8.036/1990, art. 3)</t>
  </si>
  <si>
    <t>SENAI ou SENAC (Decreto nº 2.318/1986)</t>
  </si>
  <si>
    <t>SEBRAE (Lei nº 8.029/1990 e Lei nº 8.154/1190)</t>
  </si>
  <si>
    <t>INCRA (Lei nº 7.787/1989 e DL nº 1.146/1970)</t>
  </si>
  <si>
    <t>FGTS (CF, art. 7º, III e Lei nº 8.030/1990, art. 15)</t>
  </si>
  <si>
    <t>ATENÇÃO! O VALOR MÁXIMO DE 3% PARA O RAT E DE 2% PARA O FAP APARECE PARA FINS DE PROVISIONAMENTO! DEVERÁ A LICITANTE AJUSTÁ-LO AOS ÍNCIDICES APLICÁVEIS AO GRAU DE RISCO DA ATIVIDADE E AO SEU FATOR ACIDENTÁRIO DE DE PREVENÇÃO!</t>
  </si>
  <si>
    <t>Percentual Calculado sobre o salário mínimo vigente</t>
  </si>
  <si>
    <r>
      <t xml:space="preserve">Adicional de Hora Extra: A ser paga </t>
    </r>
    <r>
      <rPr>
        <b/>
        <u val="single"/>
        <sz val="10"/>
        <rFont val="Calibri Light"/>
        <family val="2"/>
      </rPr>
      <t>apenas</t>
    </r>
    <r>
      <rPr>
        <b/>
        <sz val="10"/>
        <rFont val="Calibri Light"/>
        <family val="2"/>
      </rPr>
      <t xml:space="preserve"> na ocorrência do fato gerador (isto é, a eventual realização de horas extraordinárias) - Nos meses em que não houver ocorreência de horas extras, não deverá ser considerado para fins de cálculo algum. </t>
    </r>
  </si>
  <si>
    <t>ATENÇÃO: APAGAR BENEFÍCIOS QUE NÃO FOREM PREVISTOS NA CCT EM QUESTÃO. PARA FINS DE AFERIÇÃO, REFERENCIAR A CLÁUSULA DA CCT, AO LADO DA LINHA DE CADA BENEFÍCIO!</t>
  </si>
  <si>
    <r>
      <t xml:space="preserve">ANEXO </t>
    </r>
    <r>
      <rPr>
        <b/>
        <sz val="10"/>
        <color indexed="10"/>
        <rFont val="Calibri Light"/>
        <family val="2"/>
      </rPr>
      <t>III</t>
    </r>
    <r>
      <rPr>
        <b/>
        <sz val="10"/>
        <color indexed="8"/>
        <rFont val="Calibri Light"/>
        <family val="2"/>
      </rPr>
      <t xml:space="preserve"> - PLANILHA DE CUSTOS E FORMAÇÃO DE PREÇOS</t>
    </r>
  </si>
  <si>
    <t>Prestação de Serviços de Limpeza e Conservação</t>
  </si>
  <si>
    <t>PA nº 3214/2019</t>
  </si>
  <si>
    <t>Localidade</t>
  </si>
  <si>
    <t>M2</t>
  </si>
  <si>
    <t>5143-20</t>
  </si>
  <si>
    <r>
      <t>Salário Normativo da Categoria Profissional</t>
    </r>
    <r>
      <rPr>
        <sz val="10"/>
        <rFont val="Calibri Light"/>
        <family val="2"/>
      </rPr>
      <t xml:space="preserve"> </t>
    </r>
    <r>
      <rPr>
        <sz val="10"/>
        <rFont val="Calibri Light"/>
        <family val="2"/>
      </rPr>
      <t>(44 horas semanais/220 horas semanais)</t>
    </r>
  </si>
  <si>
    <t>01 DE JANEIRO</t>
  </si>
  <si>
    <t>COMUNICADO CONJUNTO DE 17/12/2019</t>
  </si>
  <si>
    <t>Benefício Médico Ambulatorial e Odontológico</t>
  </si>
  <si>
    <t>Valor do Benefício</t>
  </si>
  <si>
    <t>Benefício Social Familiar</t>
  </si>
  <si>
    <t>Benefício Natalidade</t>
  </si>
  <si>
    <t>Crachá de identificação</t>
  </si>
  <si>
    <t>N/A</t>
  </si>
  <si>
    <t>PRODUTIVIDADE</t>
  </si>
  <si>
    <t>ÁREAS INTERNAS</t>
  </si>
  <si>
    <t>Auxiliar de Limpeza</t>
  </si>
  <si>
    <t>TOTAL (R$/M2)</t>
  </si>
  <si>
    <t>ÁREAS EXTERNAS</t>
  </si>
  <si>
    <t>Área (m2)                  (1)</t>
  </si>
  <si>
    <t>Áreas Internas</t>
  </si>
  <si>
    <t>Banheiros</t>
  </si>
  <si>
    <t>Áreas Externas</t>
  </si>
  <si>
    <t>Pisos pavimentados adjacentes/contíguos às edificações</t>
  </si>
  <si>
    <t>Varrição de passeios e arruamentos</t>
  </si>
  <si>
    <t>Pátios e áreas verdes com média/baixa frequência</t>
  </si>
  <si>
    <t>Custos Indiretos e Lucro: Percentil Máximo SEGES Caderno Técnico Limpeza - São Paulo 2019.</t>
  </si>
  <si>
    <t xml:space="preserve">ISSQN: 5,0% - Máximo permitido (ANEXO 1 IN SF/SUREM Nº 8/2011) </t>
  </si>
  <si>
    <t>Produtividade IN 05/2017 (M2)</t>
  </si>
  <si>
    <t>PRODUTIVIDADE (1/M2)                               (1)</t>
  </si>
  <si>
    <t>SUBTOTAL (R$/M2)                            (3)                                (1)X(2)</t>
  </si>
  <si>
    <t>Uniformes</t>
  </si>
  <si>
    <t>Material de Limpeza e Equipamentos</t>
  </si>
  <si>
    <t>% da soma dos itens de custo para o cargo:</t>
  </si>
  <si>
    <t>LOCALIDADE</t>
  </si>
  <si>
    <t>SUBTOTAL MENSAL</t>
  </si>
  <si>
    <t>Subtotal das áreas da Unidade</t>
  </si>
  <si>
    <t>Preço Total Mensal para a Unidade</t>
  </si>
  <si>
    <t>QUADRO RESUMO</t>
  </si>
  <si>
    <t>Valor Mensal do Contrato</t>
  </si>
  <si>
    <t>Valor Total do Contrato</t>
  </si>
  <si>
    <t>meses</t>
  </si>
  <si>
    <t>MODELO DE PROPOSTA COMERCIAL</t>
  </si>
  <si>
    <t>CÁLCULO DA PRODUTIVIDADE  - IN 05/2017</t>
  </si>
  <si>
    <t>UNIDADE DE MEDIDA</t>
  </si>
  <si>
    <t>QUANTIDADE</t>
  </si>
  <si>
    <r>
      <t>m</t>
    </r>
    <r>
      <rPr>
        <vertAlign val="superscript"/>
        <sz val="11"/>
        <color indexed="8"/>
        <rFont val="Calibri"/>
        <family val="2"/>
      </rPr>
      <t>2</t>
    </r>
  </si>
  <si>
    <t>PREÇO UNITÁRIO</t>
  </si>
  <si>
    <t>FREQUÊNCIA</t>
  </si>
  <si>
    <t>Mensal</t>
  </si>
  <si>
    <t>TIPO DE ÁREA / DESCRIÇÃO DOS SERVIÇOS</t>
  </si>
  <si>
    <t>Tipo de Área / Descrição dos Serviços</t>
  </si>
  <si>
    <t>MÃO DE OBRA</t>
  </si>
  <si>
    <t>METRAGEM</t>
  </si>
  <si>
    <t>PREÇO HOMEM-MÊS (R$)                                   (2)</t>
  </si>
  <si>
    <t>Pisos acarpetados/vinílico</t>
  </si>
  <si>
    <t>COREN-SP SUBSEÇÃO ARAÇATUBA</t>
  </si>
  <si>
    <t>Araçatuba / SP</t>
  </si>
  <si>
    <t>SIEMACO-SP / SP005078/2019</t>
  </si>
  <si>
    <t>CLÁUSULA DÉCIMA SEXTA - SP005078/2019</t>
  </si>
  <si>
    <t>CLÁUSULA DÉCIMA SÉTIMA - SP005078/2019</t>
  </si>
  <si>
    <t>CLÁUSULA DÉCIMA OITAVA - SP005078/2019</t>
  </si>
  <si>
    <t>CLÁUSULA DÉCIMA NONA - SP005078/2019</t>
  </si>
  <si>
    <t>Serviços de Limpeza e Conservação - 25194</t>
  </si>
  <si>
    <t>5143-05</t>
  </si>
  <si>
    <t>Limpador de Vidros - Diurno</t>
  </si>
  <si>
    <t>220 horas mensais</t>
  </si>
  <si>
    <t>Esquadrias e Fachadas</t>
  </si>
  <si>
    <t>Esquadria - face interna (sem exposição a situação de risco)</t>
  </si>
  <si>
    <t>ESQUADRIAS E FACHADAS</t>
  </si>
  <si>
    <t>FREQUÊNCIA NO MÊS (HORAS)                              (2)</t>
  </si>
  <si>
    <t>JORNADA DE TRABALHO NO SEMESTRE (HORAS)                                      (3)</t>
  </si>
  <si>
    <t>(4)               (1)X(2)X(3)</t>
  </si>
  <si>
    <t>PREÇO HOMEM-MÊS (R$)                            (2)</t>
  </si>
  <si>
    <t>SUBTOTAL (R$/M2)            (6)                                (4)X(5)</t>
  </si>
  <si>
    <t>Limpador de Vidros</t>
  </si>
  <si>
    <t>Quadro Complementar - Jornada de trabalho no quadrimestre:</t>
  </si>
  <si>
    <t>Número de dias de trabalho por ano:</t>
  </si>
  <si>
    <t>Número de meses no ano:</t>
  </si>
  <si>
    <t>Número de dias por mês:</t>
  </si>
  <si>
    <t>Número de dias na semana:</t>
  </si>
  <si>
    <t>Número de semanas no mês:</t>
  </si>
  <si>
    <t>Número de horas semanais - jornada:</t>
  </si>
  <si>
    <t>44 h/s</t>
  </si>
  <si>
    <t>Número de horas no mês:</t>
  </si>
  <si>
    <t>Número de horas no quadrimestre:</t>
  </si>
  <si>
    <t>ESQUADRIAS</t>
  </si>
  <si>
    <t>Multa do FGTS e Contribuição Socual sobre o Aviso Prévio Indenizado - Memória de Cálculo: [0,08*(0,40)*0,9]*(1+0,0833+0,0833+0,0278)=3,44%, sendo que: (0,08) = Alíquota do FGTS (8%); (0,40) = Valor da Multa do FGTS indenizado (40%); (0,90) = 90% dos funcionários remanescentes (LC nº110/2001. Estudos CNJ – Resolução nº 98/2009); 1= remuneração integral; (0,0833) = % do 13º salário; (0,0833) = % de férias (pagamento pelo fato gerador); (0,0278) = % adicional de férias (pagamento pelo fato gerador)</t>
  </si>
  <si>
    <t>Multa do FGTS e contribuição social sobre o Aviso Prévio Trabalhado: [0,08 x (0,4)] x [% Incidência dos Encargos do Submódulo 2.2] = 0,02 %, OBS: (0,08) = Alíquota do FGTS, (0,40) = Valor da Multa do FGTS trabalhado, (% Incidência dos Encargos do Submódulo 2.2) = % do item E</t>
  </si>
  <si>
    <t>Servente de Limpeza Líder</t>
  </si>
  <si>
    <t>Servente de Limpeza Líder - Diurno</t>
  </si>
  <si>
    <t>Semestral</t>
  </si>
  <si>
    <t>* Atenção: Os percentuais do submódulo 2.1 vinculam-se à opção de pagamento pelo fato gerador. Vide Caderno de Logística do Pagamento por Fato Gerador https://www.comprasgovernamentais.gov.br/images/conteudo/ArquivosCGNOR/fato_gerador.pdf</t>
  </si>
  <si>
    <t>Submódulo 3.1 - Aviso Prévio Indenizado</t>
  </si>
  <si>
    <t>Submódulo 2.1 - 13º Salário, Férias e Adicional de Férias</t>
  </si>
  <si>
    <t>Provisionamento para 12 meses (vigência contratual)</t>
  </si>
  <si>
    <t>Base de cálculo do Aviso Prévio Indenizado</t>
  </si>
  <si>
    <t>Percentual de Incidência</t>
  </si>
  <si>
    <t>Valor</t>
  </si>
  <si>
    <t>Valor do Aviso Prévio Indenizado</t>
  </si>
  <si>
    <t>Submódulo 3.2- Aviso Prévio Trabalhado</t>
  </si>
  <si>
    <t>Base de cálculo do Aviso Prévio Trabalhado</t>
  </si>
  <si>
    <t>Valor do Aviso Prévio Trabalhado</t>
  </si>
  <si>
    <t>ATENÇÃO LICITANTE! O VALOR MÁXIMO ACEITO PARA O SAT (SEGURO ACIDENTE DE TRABALHO) É 3%, SENDO QUE, ESPECIFICAMENTE, PARA O FAP O FATOR MÁXIMO ACEITO É DE 1,0. ESSES LIMITES SERÃO OBSERVADOS NO RECEBIMENTO DAS PROPOSTAS.</t>
  </si>
  <si>
    <t>Base de Cálculo: Módulo 1 + Módulo 2 + Módulo 3</t>
  </si>
  <si>
    <t>Unidade</t>
  </si>
  <si>
    <t>Item</t>
  </si>
  <si>
    <t>unidade</t>
  </si>
  <si>
    <t>Par</t>
  </si>
  <si>
    <t>EQUIPAMENTOS</t>
  </si>
  <si>
    <t>pacote</t>
  </si>
  <si>
    <t>COREN-SP SEDE</t>
  </si>
  <si>
    <t>Prestação de serviços continuados de manutenção preventiva, preditiva e corretiva predial.</t>
  </si>
  <si>
    <t>São Paulo / SP</t>
  </si>
  <si>
    <t>Manutenção e reforma predial - 1627</t>
  </si>
  <si>
    <t>9511-05</t>
  </si>
  <si>
    <t>Eletricista Predial - 44 horas semanais - Diurno</t>
  </si>
  <si>
    <t>Descrição EPI</t>
  </si>
  <si>
    <t>Código CATMAT</t>
  </si>
  <si>
    <t>Quantidade Estimada</t>
  </si>
  <si>
    <t>Blusa tipo suéter em lã ou similar</t>
  </si>
  <si>
    <t>Camiseta manga curta, malha fina</t>
  </si>
  <si>
    <t>Calça de brim 100% algodão ou similar, cintura 1/2 cós com passador, 1/2 elástico, 2 bolsos frontais e 2 bolsos traseiros</t>
  </si>
  <si>
    <t>Jaleco de brim 100% algodão ou similar, com bolso sobreposto na lateral esquerda ou direita</t>
  </si>
  <si>
    <t>Jaqueta em nylon ou similar, forrado, com bolso na parte superior embutido ou na parte interna</t>
  </si>
  <si>
    <t>Meias de algodão</t>
  </si>
  <si>
    <t xml:space="preserve">Vida útil (meses) </t>
  </si>
  <si>
    <t>UNIFORME</t>
  </si>
  <si>
    <t>EPI - Itens Comuns</t>
  </si>
  <si>
    <t>Capacete de segurança - Classe B</t>
  </si>
  <si>
    <t>Cinto de segurança - Tipo paraquedista</t>
  </si>
  <si>
    <t>Óculos de segurança incolor</t>
  </si>
  <si>
    <t>Óculos de segurança escuro</t>
  </si>
  <si>
    <t>Protetor auricular tipo plug de silicone</t>
  </si>
  <si>
    <t>Protetor solar - FPS 30 - Frasco 120g</t>
  </si>
  <si>
    <t>Frasco (120ml)</t>
  </si>
  <si>
    <t>Calçado de segurança com isolamento elétrico</t>
  </si>
  <si>
    <t>Cinto de segurança/tabalaste - cintura</t>
  </si>
  <si>
    <t>Luvas de cobertura em vaqueta</t>
  </si>
  <si>
    <t>Luvas de isolantes para eletricista</t>
  </si>
  <si>
    <t>EPI - Oficial de Manutenção</t>
  </si>
  <si>
    <t>Calçado de segurança</t>
  </si>
  <si>
    <t>Luva nitrilica</t>
  </si>
  <si>
    <t>Luva de vaqueta mista</t>
  </si>
  <si>
    <t>Respirador PFF2</t>
  </si>
  <si>
    <t>EQUIPAMENTOS DE PROTEÇÃO INDIVIDUAL</t>
  </si>
  <si>
    <t>Observação: Uniforme para um profissional.</t>
  </si>
  <si>
    <t>VALOR TOTAL MENSAL POR POSTO</t>
  </si>
  <si>
    <t xml:space="preserve">Valor unitário </t>
  </si>
  <si>
    <t>Vida útil (meses)</t>
  </si>
  <si>
    <t>SUBTOTAL DOS EPI's - ITENS COMUNS</t>
  </si>
  <si>
    <t>SUBTOTAL DOS EPI's - OFICIAL DE MANUTENÇÃO + EPI's - ITENS COMUNS</t>
  </si>
  <si>
    <t>SUBTOTAL DOS EPI's - ELETRICISTA + EPI's - ITENS COMUNS</t>
  </si>
  <si>
    <t>EPI's</t>
  </si>
  <si>
    <t>1. Os EPI's acima são para uso de um profissional.</t>
  </si>
  <si>
    <t>Tipo de Serviço ou Produto</t>
  </si>
  <si>
    <t>Lâmpada LED de 20W</t>
  </si>
  <si>
    <t>Lâmpada LED composta de refletor dicroico 4W, cor 3000k</t>
  </si>
  <si>
    <t>Cabo de telefone CCI-50-1 (1 par)</t>
  </si>
  <si>
    <t>metro</t>
  </si>
  <si>
    <t>Fio Jumper 2x0,50mm</t>
  </si>
  <si>
    <t>rolo</t>
  </si>
  <si>
    <t>Luminária de emergência (bloco autônomo)</t>
  </si>
  <si>
    <t>peça</t>
  </si>
  <si>
    <t>Lâmpada LED de 15W</t>
  </si>
  <si>
    <t>Lâmpada tubular LED de 18W</t>
  </si>
  <si>
    <t>Tomada de sobrepor 10A</t>
  </si>
  <si>
    <t>Espelho horizontal c/ suporte 4x4 (4 módulos)</t>
  </si>
  <si>
    <t>Conector RJ-11 macho para telefonia e dados</t>
  </si>
  <si>
    <t>Rolo (100 m)</t>
  </si>
  <si>
    <t>Conjunto </t>
  </si>
  <si>
    <t>litro</t>
  </si>
  <si>
    <t>Lata (18l/25kg)</t>
  </si>
  <si>
    <t>Peça</t>
  </si>
  <si>
    <t>m²</t>
  </si>
  <si>
    <t>quilo</t>
  </si>
  <si>
    <t>Plugue 2P+T Junção Macho. 10 A, 250 V.</t>
  </si>
  <si>
    <t>Par de torneiras para purificador de água IBBL 600</t>
  </si>
  <si>
    <t>par</t>
  </si>
  <si>
    <t>Refil de filtro para purificador de água IBBL 600</t>
  </si>
  <si>
    <t>Cachimbo longo de torneira IBBL 600</t>
  </si>
  <si>
    <t>Mangueira 1/4 para purificador de água IBBL 600</t>
  </si>
  <si>
    <t>Niple PP para torneira de purificador de água IBBL 600</t>
  </si>
  <si>
    <t>Isolador térmico do cachimbo do purificador de água IBBL 600</t>
  </si>
  <si>
    <t>Conduite flexivel pvc 1"</t>
  </si>
  <si>
    <t>Metro</t>
  </si>
  <si>
    <t xml:space="preserve">Eletroduto galvanizado 1"; </t>
  </si>
  <si>
    <t xml:space="preserve">Disjuntores 10 A - 3 polos - curva c - DIN; </t>
  </si>
  <si>
    <t xml:space="preserve">Disjuntores 10 A - 2 polos - curva c - DIN; </t>
  </si>
  <si>
    <t>Disjuntores 10 A - unipolar curva c - DIN;</t>
  </si>
  <si>
    <t xml:space="preserve">Disjuntores 16 A - 3 polos - curva c - DIN; </t>
  </si>
  <si>
    <t xml:space="preserve">Disjuntores 16 A - 2 polos - curva c - DIN; </t>
  </si>
  <si>
    <t>Disjuntores 16 A - unipolar curva c - DIN;</t>
  </si>
  <si>
    <t xml:space="preserve">Disjuntores 20 A - 3 polos - curva c - DIN; </t>
  </si>
  <si>
    <t xml:space="preserve">Disjuntores 20 A - 2 polos - curva c - DIN; </t>
  </si>
  <si>
    <t>Disjuntores 20 A - unipolar curva c - DIN;</t>
  </si>
  <si>
    <t xml:space="preserve">Disjuntores 25 A - 3 polos - curva c - DIN; </t>
  </si>
  <si>
    <t xml:space="preserve">Disjuntores 25 A - 2 polos - curva c - DIN; </t>
  </si>
  <si>
    <t>Disjuntores 25 A - unipolar curva c - DIN;</t>
  </si>
  <si>
    <t xml:space="preserve">Disjuntores 32 A - 3 polos - curva c - DIN; </t>
  </si>
  <si>
    <t xml:space="preserve">Disjuntores 32 A - 2 polos - curva c - DIN; </t>
  </si>
  <si>
    <t>Disjuntores 32 A - unipolar curva c - DIN;</t>
  </si>
  <si>
    <t>Contator - bobina 220 V - 3 polos de 9 A;</t>
  </si>
  <si>
    <t>Contator - bobina 220 V - 3 polos de 12 A;</t>
  </si>
  <si>
    <t>Contator - bobina 220 V - 3 polos de 22 A;</t>
  </si>
  <si>
    <t>Contator - bobina 220 V - 3 polos de 25 A;</t>
  </si>
  <si>
    <t>Contator - bobina 220 V - 3 polos de 32 A;</t>
  </si>
  <si>
    <t xml:space="preserve">Gás R-22 (certificado pelo IBAMA); </t>
  </si>
  <si>
    <t xml:space="preserve">Gás R-410 (certificado pelo IBAMA); </t>
  </si>
  <si>
    <t xml:space="preserve">Isolamento térmico para tubulação 3/8"; </t>
  </si>
  <si>
    <t xml:space="preserve">Isolamento térmico para tubulação 1/2"; </t>
  </si>
  <si>
    <t xml:space="preserve">Isolamento térmico para tubulação 5/8"; </t>
  </si>
  <si>
    <t>Mangueira de silicone para dreno 12 mm</t>
  </si>
  <si>
    <t>Tubo PVC marrom 20 mm soldavel</t>
  </si>
  <si>
    <t>Tubo PVC marrom 25 mm soldavel</t>
  </si>
  <si>
    <t>Tubo de cobre sem costura 3/16"</t>
  </si>
  <si>
    <t>Tubo de cobre sem costura 1/4"</t>
  </si>
  <si>
    <t>Tubo de cobre sem costura 5/16"</t>
  </si>
  <si>
    <t>Tubo de cobre sem costura 3/8"</t>
  </si>
  <si>
    <t>Tubo de cobre sem costura 1/2"</t>
  </si>
  <si>
    <t>Tubo de cobre sem costura 5/8"</t>
  </si>
  <si>
    <t>União de cobre soldavel 3/8";</t>
  </si>
  <si>
    <t>União de cobre soldavel 1/2";</t>
  </si>
  <si>
    <t>União de cobre soldavel 5/8";</t>
  </si>
  <si>
    <t>Barra roscada 1/4";</t>
  </si>
  <si>
    <t>Parabolt 1/4";</t>
  </si>
  <si>
    <t>Parabolt 5/16";</t>
  </si>
  <si>
    <t>Parabolt 3/8";</t>
  </si>
  <si>
    <t>Suporte para ar condicionado de 12000 BTUs;</t>
  </si>
  <si>
    <t>Suporte para ar condicionado de 15000 BTUs;</t>
  </si>
  <si>
    <t>Suporte para ar condicionado de 18000 BTUs;</t>
  </si>
  <si>
    <t>Suporte para ar condicionado de 35000 BTUs;</t>
  </si>
  <si>
    <t>Suporte para ar condicionado de 60000 BTUs;</t>
  </si>
  <si>
    <t>frasco (400ml)</t>
  </si>
  <si>
    <t>Lata</t>
  </si>
  <si>
    <t>Litro</t>
  </si>
  <si>
    <t>frasco (500ml)</t>
  </si>
  <si>
    <r>
      <t>Cabo PP 4 x 2,5 mm</t>
    </r>
    <r>
      <rPr>
        <vertAlign val="superscript"/>
        <sz val="11"/>
        <rFont val="Calibri"/>
        <family val="2"/>
      </rPr>
      <t>2</t>
    </r>
    <r>
      <rPr>
        <sz val="11"/>
        <rFont val="Calibri"/>
        <family val="2"/>
      </rPr>
      <t xml:space="preserve">; </t>
    </r>
  </si>
  <si>
    <r>
      <t>Cabo PP 3 x 4 mm</t>
    </r>
    <r>
      <rPr>
        <vertAlign val="superscript"/>
        <sz val="11"/>
        <rFont val="Calibri"/>
        <family val="2"/>
      </rPr>
      <t>2</t>
    </r>
    <r>
      <rPr>
        <sz val="11"/>
        <rFont val="Calibri"/>
        <family val="2"/>
      </rPr>
      <t xml:space="preserve">; </t>
    </r>
  </si>
  <si>
    <r>
      <t>Cabo PP 3 x 6 mm</t>
    </r>
    <r>
      <rPr>
        <vertAlign val="superscript"/>
        <sz val="11"/>
        <rFont val="Calibri"/>
        <family val="2"/>
      </rPr>
      <t>2</t>
    </r>
    <r>
      <rPr>
        <sz val="11"/>
        <rFont val="Calibri"/>
        <family val="2"/>
      </rPr>
      <t xml:space="preserve">; </t>
    </r>
  </si>
  <si>
    <r>
      <t>Cabo flexivel 6 mm</t>
    </r>
    <r>
      <rPr>
        <vertAlign val="superscript"/>
        <sz val="11"/>
        <rFont val="Calibri"/>
        <family val="2"/>
      </rPr>
      <t>2</t>
    </r>
    <r>
      <rPr>
        <sz val="11"/>
        <rFont val="Calibri"/>
        <family val="2"/>
      </rPr>
      <t>;</t>
    </r>
  </si>
  <si>
    <t>Conduíte de corrugação paralela de diâmetro 3/4", bitola de aprox. 25 mm, fabricado em PVC antichama, resistência 750 n / 5 cm, indicado para instalações de baixa tensão. Rolo com 50 m. Cor amarela.</t>
  </si>
  <si>
    <t>Conector modelo RJ-45 macho para rede de dados, compatível com cabo sólido e flexível, medidas aproximadas de 8 x 11,7 mm, cor transparente, condutor com diâmetro de 22 x 26 AWG, categoria6, contatos elétricos em 08 vias de bronze fosforoso e corpo em material termoplástico resistente à chamas tipo UL94V-0</t>
  </si>
  <si>
    <t>Espelho modular vertical para tomada c/ suporte 4x2 (1 módulo), composto de material termoplástico cor branco, acabamento anti-estático</t>
  </si>
  <si>
    <t>Espelho vertical c/ suporte 4x2 (2 módulos ou tecla tupla), cor branca, para tomada 2P+T</t>
  </si>
  <si>
    <t>Fusível de 10 amperes em formato de tubo, corpo composto de vidro e terminais de latão niquelado, dimensões aproximadas de 5 x 20 mm, tempo corrente de tensão rápida, tensão nominal de 250V, resistência a vibração de 24 ciclos (15 minutos), capacidade de interrupção nominal baixa (35A)peso unitário aproximado de 01 g. Pacote com 10 unidades</t>
  </si>
  <si>
    <t>Plugue modelo 2P+T Junção Fêmea. 10A, 250 V.</t>
  </si>
  <si>
    <t>Soquete de base E27, corrente suportada de 4A, 250V, com corpo em porcelana branca reta sem cabo, altura de 42m e diâmetro de 35mm (similar ao modelo HX/910-M Lucchi)</t>
  </si>
  <si>
    <t>Tomada de embutir redonda 4x2 simples modelo 2P+T, sem espelho, cor branca ou preta</t>
  </si>
  <si>
    <t>Tomada de sobrepor modelo 2P+T 10A - Tensão Máxima 250V, Sistema X, com caixa</t>
  </si>
  <si>
    <t>Tomada de sobrepor modelo 2P+T 20A - Tensão Máxima 250V - Sistema X, com caixa</t>
  </si>
  <si>
    <t>Tomada para piso modelo 2P+T redonda, corpo e tampa em poliamida e terminais de latão, cor preta, tensão máxima 250 V, sem placa, cor branca ou preta</t>
  </si>
  <si>
    <t>Cabo cor verde flexível de cobre eletrolítico nu, têmpera mole, encordoamento classe 04, seção nominal de 1,5 mm², diâmetro do
condutor de 1,55 mm, espessura nominal de isolação de 0,7 mm, diâmetro externo nomial de 2,95 mm. Massa líquida aprox. de 20 Kg/km. Revestimento de isolação em cor verde de PVC/A 70º - NBR NM 247/3. Tensão de isolação de 750 V</t>
  </si>
  <si>
    <t>Cabo cor verde flexível de cobre eletrolítico nu, têmpera mole, encordoamento classe 04, seção nominal de 2,5 mm², diâmetro do condutor de 1,97 mm, espessura nominal de isolação de 0,8 mm, diâmetro externo nomial de 3,57 mm. Massa líquida aprox. de 32 Kg/km. Revestimento de isolação em cor verde de PVC/A 70º - NBR NM 247/3. Tensão de isolação de 750 V</t>
  </si>
  <si>
    <t>Cabo cor verde flexível de cobre eletrolítico nu, têmpera mole, encordoamento classe 04, seção nominal de 4 mm², diâmetro do condutor de 2,50 mm, espessura nominal de isolação de 0,8 mm,
diâmetro externo nomial de 4,10 mm. Massa líquida aprox. de 46 Kg/km. Revestimento de isolação em cor verde de PVC/A 70º - NBR NM 247/3. Tensão de isolação de 750 V</t>
  </si>
  <si>
    <t>Cabo cor vermelha flexível de cobre eletrolítico nu, têmpera mole, encordoamento classe 04, seção nominal de 1,5 mm², diâmetro do condutor de 1,55 mm, espessura nominal de isolação de 0,7 mm, diâmetro externo nomial de 2,95 mm. Massa líquida aprox. de 20 Kg/km. Revestimento de isolação em cor vermelha de PVC/A 70º - NBR NM 247/3</t>
  </si>
  <si>
    <t>Cabo cor vermelha flexível de cobre eletrolítico nu, têmpera mole, encordoamento classe 04, seção nominal de 2,5 mm², diâmetro do
condutor de 1,97 mm, espessura nominal de isolação de 0,8 mm,
diâmetro externo nomial de 3,57 mm. Massa líquida aprox. de 32 Kg/km. Revestimento de isolação em cor vermelha de PVC/A 70º - NBR NM 247/3. Tensão de isolação de 750 V</t>
  </si>
  <si>
    <t>Cabo cor vermelho flexível de cobre eletrolítico nu, têmpera mole, encordoamento classe 04, seção nominal de 4 mm², diâmetro do
condutor de 2,50 mm, espessura nominal de isolação de 0,8 mm,
diâmetro externo nomial de 4,10 mm. Massa líquida aprox. de 46 Kg/km. Revestimento de isolação em cor vermelho de PVC/A 70º - NBR NM 247/3. Tensão de isolação de 750 V. Apresentado em rolo com 100 m</t>
  </si>
  <si>
    <t>Cabo de rede LAN cor azul Categoria 6 modelo U/UTP (não blindado), confeccionado em cobre eletrolítico nu, diâmetro nomial de 24 / 23 AWG coberto por polietileno termoplástico.
Condutores isolados em pares, num total de 04 pares identificados pelas cores azul, laranja, verde e marrom.
Capa externa em material PVC material resistente à chama. Diâmetro nominal de 6,0 mm. Rolo com 100m.</t>
  </si>
  <si>
    <t>Cabo PP 3 X 2,50mm, para tensões nominais até 0,6/1 kV, formado por fios de cobre nu, eletrolítico, têmpera mole, encordoamento classe 4 (flexíveis), isolado com composto termofixo Etileno Propileno (HEPR) de alto módulo para 90°C, veias torcidas entre si, formando o núcleo, a cobertura extrudada com Policloreto de Vinila (PVC), tipo ST 2, antichama (BWF-B). Apresentado em rolo com 100m.</t>
  </si>
  <si>
    <t>Cabo cor preta flexível de cobre eletrolítico nu, têmpera mole, encordoamento classe 04, seção nominal de 1,5 mm², diâmetro do condutor de 1,55 mm, espessura nominal de isolação de 0,7 mm, diâmetro externo nomial de 2,95 mm. Massa líquida aprox. de 20 Kg/km. Revestimento de isolação em cor preta de PVC/A 70º - NBR NM 247/3. Tensão de isolação de 750 V. Apresentado em
rolo de aprox. 23 cm de diâmetro com 100 m de comprimento</t>
  </si>
  <si>
    <t>Cabo cor preta flexível de cobre eletrolítico nu, têmpera mole, encordoamento classe 04, seção nominal de 2,5 mm², diâmetro do
condutor de 1,97 mm, espessura nominal de isolação de 0,8 mm,
diâmetro externo nomial de 3,57 mm. Massa líquida aprox. de 32 Kg/km. Revestimento de isolação em cor preta de PVC/A 70º - NBR NM 247/3. Tensão de isolação de 750 V</t>
  </si>
  <si>
    <t>Cabo cor preto flexível de cobre eletrolítico nu, têmpera mole,
encordoamento classe 04, seção nominal de 4 mm², diâmetro do
condutor de 2,50 mm, espessura nominal de isolação de 0,8 mm,
diâmetro externo nomial de 4,10 mm. Massa líquida aprox. de 46 Kg/km. Revestimento de isolação em cor preto de PVC/A 70º - NBR NM 247/3. Tensão de isolação de 750 V</t>
  </si>
  <si>
    <t>Cabo telefônico interno modelo CCI-50- 1 (01 par), condutor eletrolítico estanhado de seção maciça aprox. 0,5 mm de diâmetro, isolação com camada copasta de PVC - cloreto de polivinila e revestimento externo de PVC - cloreto de polivinila na cor cinza. Em rolos com 200 metros</t>
  </si>
  <si>
    <t>Dispenser de copos de água (180/200 ml), Dispenser para copo plástico, cor branca, capacidade do copo: 180/200ml. Capacidade: 100 unidades.  Aracterística adicionais: sistema poupa copo com alavanca de acionamento, material  base de fixação em acrílico rígido, acompanhando buchas e parafusos para fixação.</t>
  </si>
  <si>
    <t>Coluna de regulagem de altura por acionamento a gás, material metálico e bucha guia para sistema giratório para aplicação em cadeira de escritório com pistões CLASSE 4 em conformidade com a norma DIN4550, nível máximo de exigência da norma, com capacidade para suportar no mínimo 150kg. Medida do pistão aberto: 412mm (variação máxima +/-20mm); Medida do pistão fechado: 277mm (variação máxima +/-20mm); Curso: 140mm (variação máxima +/-20mm); Tipo de encaixe da ponta da haste: cônico; Conicidade da ponta da haste: 1º26´16”; Tipo da base: cônica baixa; Conicidade da base: 1º26´16”. Compatível com o modelo de cadeira CG-220-PT da FlexForm</t>
  </si>
  <si>
    <t xml:space="preserve">Cabo cor azul flexível de cobre eletrolítico nu, têmpera mole, encordoamento classe 04, seção nominal de 2,5 mm², diâmetro do
condutor de 1,97 mm, espessura nominal de isolação de 0,8 mm,
diâmetro externo nomial de 3,57 mm.
Massa líquida aprox. de 32 Kg/km.
Revestimento de isolação em cor azul de PVC/A 70º - NBR NM 247/3. Tensão de isolação de 750 V. </t>
  </si>
  <si>
    <t xml:space="preserve">Cabo cor azul flexível de cobre eletrolítico nu, têmpera mole, encordoamento classe 04, seção nominal de 1,5 mm², diâmetro do condutor de 1,55 mm, espessura nominal de isolação de 0,7 mm, diâmetro externo nomial de 2,95 mm. Massa líquida aprox. de 20 Kg/km. Revestimento de isolação em cor azul de PVC/A 70º - NBR NM 247/3. Tensão de isolação de 750 V. </t>
  </si>
  <si>
    <t>Cabo cor azul flexível de cobre eletrolítico nu, têmpera mole, encordoamento classe 04, seção nominal de 4 mm², diâmetro do condutor de 2,50 mm, espessura nominal de isolação de 0,8 mm, diâmetro externo nomial de 4,10 mm. 
Massa líquida aprox. de 46 Kg/km.
Revestimento de isolação em cor azul de PVC/A 70º - NBR NM 247/3. Tensão de isolação de 750 V. Apresentado em rolo com 100 m</t>
  </si>
  <si>
    <t>Adesivo de contato, à base de solvente, sem toluol, com pega permanente, para uso em placas de piso vinílico, similar ao produto "Adesivo de contato Tradicional" da marca Cascola.</t>
  </si>
  <si>
    <t>Mola dobradiça para portas corta-fogo, em aço galvanizado, com acabamento zincado, tamanho aproximado de 100mm.</t>
  </si>
  <si>
    <t>Fechadura para porta corta-fogo, do tipo de sobrepor, sem chave, na cor preta.</t>
  </si>
  <si>
    <t>Tinta acrílica cor branco neve, à base de água, acabamento fosco, tipo Econômica ou superior, com rendimento entre 45 e 70m² por demão, de 2 a 4 demãos para cobrimento, secagem ao toque de até 60 minutos, entre demãos de 4 horas e secagem final de até 12 horas, ação antimofo,  que possua Atestado de Qualificação da ABRAFATI.</t>
  </si>
  <si>
    <t>Tinta Esmalte sintético brilhante cor Platina, pintura em metais, para diluição em Aguarrás, tipo Standard ou superior, com rendimento de até 50m², de 2 a 3 demãos para cobrimento, entre demãos de 2 a 3 horas e secagem final de até 5 horas, de alto brilho,  que possua Atestado de Qualificação ABRAFATI.</t>
  </si>
  <si>
    <t>Massa corrida PVA, à base de água, acabamento fino com rendimento entre 13 e 18m² por demão/galão, de 2 a 3 demãos para cobrimento, secagem ao toque de até 40 minutos, entre demãos de até 3 horas e secagem final de até 5 horas, que possua Atestado de Qualificação da ABRAFATI.</t>
  </si>
  <si>
    <t>Verniz Marítimo para madeira, brilhante de cor natural, que proteja e mantenha o aspecto natural da madeira, alta resistência contra chuva e sol, com filtro solar, para diluição em aguarrás, com rendimento entre 80 e 120m² por demão/galão, de 1 a 3 demãos para cobrimento em repintura, secagem ao toque de 3 a 6 horas, entre demãos de até 12 horas e secagem final de até 24 horas, que esteja dentro dos padrões estabelecidos pela NBR 11702/2010.</t>
  </si>
  <si>
    <t>Montante de aço galvanizado, com espessura da chapa de 0,50mm e largura de 70mm. Barra de 3 (três) metros.</t>
  </si>
  <si>
    <t>Guia de aço galvanizado, com espessura da chapa de 0,50mm e largura de 70mm. Barra de 3 (três) metros.</t>
  </si>
  <si>
    <t>Chapa de gesso acartonado Standard, para áreas secas, com medidas de 1,80x1,20m e 12,5mm de espessura, com bordas rebaixadas, que atenda às NBR's 14715/2001, 14716/2001, 14717/2001.</t>
  </si>
  <si>
    <t>Módulo de tomada 10A branca, modelo : 615040 Pialplus/Pial Legrand". Indicação de marca para manter padrão e funcionalidade do objeto.</t>
  </si>
  <si>
    <t>Módulo de tomada 20A branca, modelo : 615060 Pialplus/Pial Legrand. Indicação de marca para manter padrão e funcionalidade do objeto.</t>
  </si>
  <si>
    <t>Tomada de painel com borne, modelo 2P+T retangular, cor preta ou vermelha, tensão máxima 250V, corrente máxima 10A, índice de proteção IP 20, com a parte de fixação e encaixe medindo 22x26mm, dentro dos padrões da NBR 14136, similar ao produto da marca Transmobil Cód.: 30.030.</t>
  </si>
  <si>
    <t>Filtro de linha com 4 tomadas, tensão máxima de 250V, valor mínimo da corrente do conjunto de 8A, com fusível correspondente incluso, cabo com no mínimo 1,50m de comprimento e plug 2P+T.</t>
  </si>
  <si>
    <t>Soquete G13 de engate rápido, para lâmpada tubular de LED. Material: polipropileno, sem rabicho, de engate rápido.</t>
  </si>
  <si>
    <t>Torneira automática para lavatório, com fechamento ativado após aproximadamente 07 segundos funcionando, acionamento hidromecânico em metal e com  pressão manual, bica baixa, com arejador rosqueável, fixação em mesa, bitola 1/2  polegada, com pressão de 2 a 4 M.C.A, com garantia de 01 (um) ano, conforme NBR 13713. Similar ao modelo "Forusimatic Standard 9.11.0259.25" da marca Forusi.</t>
  </si>
  <si>
    <t>Reparo para torneiras Forusi, utilizado na torneira Forusimatic Standard, modelo "Kit Reparo Forusimatic 9.10.0035.00" da marca Forusi. Indicação de marca para manter padrão e funcionalidade do objeto.</t>
  </si>
  <si>
    <t>Válvula para mictório, feita em liga de cobre (latão) e aço inox, similar ao modelo "Válvula para mictório Forusimatic 9.29.0001.25" da marca Forusi.</t>
  </si>
  <si>
    <t>Reparo para caixa acoplada modelo universal para acionamento Lateral ou Superior, kit completo para DECA ou CELITE. O kit deve conter todas as peças, sendo: válvula de entrada de água, válvula de saída, obturador de borracha, correntes e fixadores, botão de acionamento e outros mecanismos.</t>
  </si>
  <si>
    <t>Assento sanitário oval, de polipropileno branco, com arco rígido (injetado) e com batedores, tampo de cobertura total, similar ao modelo "Master Branco TPM/AS" da Astra.</t>
  </si>
  <si>
    <t>Engate flexível para torneira, bitola 1/2", 40cm, de aço inox, cromada, para alta e baixa pressão.</t>
  </si>
  <si>
    <t>Tinta acrílica cor branco gelo, à base de água, acabamento fosco, tipo Econômica ou superior, com rendimento entre 45 e 70m² por demão, de 2 a 4 demãos para cobrimento, secagem ao toque de até 60 minutos, entre demãos de 4 horas e secagem final de até 12 horas, ação antimofo, que possua Atestado de Qualificação da ABRAFATI.</t>
  </si>
  <si>
    <t>Cabo flexível de cobre 1,5mm², encordoamento classe 04. Revestimento de isolação nas cores vermelho, preto, azul ou verde, de PVC/A 70º - NBR NM 247/3. Apresentado em rolo com 100m.</t>
  </si>
  <si>
    <t>Cabo flexível de cobre 2,5mm², encordoamento classe 04. Revestimento de isolação nas cores vermelho, preto, azul e verde, de PVC/A 70º - NBR NM 247/3. Apresentado em rolo com 100m.</t>
  </si>
  <si>
    <t>Cabo flexível PP 3 X 1,50mm², encordoamento classe 4 (flexíveis), isolado com composto termofixo Etileno Propileno (HEPR) de alto módulo para 90°C, veias torcidas entre si, formando o núcleo, a cobertura extrudada com Policloreto de Vinila (PVC), tipo ST 2, antichama (BWF-B). Apresentado em rolo com 100m</t>
  </si>
  <si>
    <t>Cabo flexível PP 3 X 2,50mm², encordoamento classe 4 (flexíveis), isolado com composto termofixo Etileno Propileno (HEPR) de alto módulo para 90°C, veias torcidas entre si, formando o núcleo, a cobertura extrudada com Policloreto de Vinila (PVC), tipo ST 2, antichama (BWF-B). Apresentado em rolo com 100m</t>
  </si>
  <si>
    <t>Soquete de porcelana, de base E27, com corpo em porcelana branca reta, altura de 42mm e diâmetro 35mm.</t>
  </si>
  <si>
    <t>Interruptor bipolar simples de 1 módulo, cor branca, adequado para reposição em espelhos modelo 612005 Pialplus/Pial Legrand. Indicação de marca para manter padrão e funcionalidade do objeto.</t>
  </si>
  <si>
    <t>Interruptor bipolar simples (tecla dupla), corrente máxima de 25A, tensão até 250V, modelo : 612016 Pialplus/Pial Legrand". Indicação de marca para manter padrão e funcionalidade do objeto.</t>
  </si>
  <si>
    <t>Valor unitário</t>
  </si>
  <si>
    <t>Valor Anual</t>
  </si>
  <si>
    <t>NÚMERO DE MESES DA EXECUÇÃO CONTRATUAL</t>
  </si>
  <si>
    <t>Fita isolante, cor preta, 19 mm x 20 m espessura de 0,19 mm - Produto certificado a 105°C de acordo com ABNT NBR NM 60454-3-1 - Classe A - Profissional - Resistente a U.V - Antichamas e Autoextinguivel</t>
  </si>
  <si>
    <t>Rolo</t>
  </si>
  <si>
    <t>Fita veda rosca 18 mm x 50 m</t>
  </si>
  <si>
    <r>
      <t>Pote de graxa à base de cálcio, hidrorepelente, ponto de gota é de 90</t>
    </r>
    <r>
      <rPr>
        <vertAlign val="superscript"/>
        <sz val="10"/>
        <rFont val="Calibri"/>
        <family val="2"/>
      </rPr>
      <t xml:space="preserve">o </t>
    </r>
    <r>
      <rPr>
        <sz val="10"/>
        <rFont val="Calibri"/>
        <family val="2"/>
      </rPr>
      <t>C500 gr</t>
    </r>
  </si>
  <si>
    <t>Quilo</t>
  </si>
  <si>
    <t>Spray lubrificante, anticorrosivo (desengripante) 300 ml</t>
  </si>
  <si>
    <t>Frasco</t>
  </si>
  <si>
    <t>Parafuso autobrocante para dryway 25  mm</t>
  </si>
  <si>
    <t>Prego com cabeça 18 x 27</t>
  </si>
  <si>
    <t>Pacote com 50</t>
  </si>
  <si>
    <r>
      <t>Folha de lixa para parede grão n</t>
    </r>
    <r>
      <rPr>
        <vertAlign val="superscript"/>
        <sz val="10"/>
        <rFont val="Calibri"/>
        <family val="2"/>
      </rPr>
      <t>o</t>
    </r>
    <r>
      <rPr>
        <sz val="10"/>
        <rFont val="Calibri"/>
        <family val="2"/>
      </rPr>
      <t xml:space="preserve"> 120</t>
    </r>
  </si>
  <si>
    <r>
      <t>Folha de lixa para parede grão n</t>
    </r>
    <r>
      <rPr>
        <vertAlign val="superscript"/>
        <sz val="10"/>
        <rFont val="Calibri"/>
        <family val="2"/>
      </rPr>
      <t>o</t>
    </r>
    <r>
      <rPr>
        <sz val="10"/>
        <rFont val="Calibri"/>
        <family val="2"/>
      </rPr>
      <t xml:space="preserve"> 220</t>
    </r>
  </si>
  <si>
    <r>
      <t>Folha de lixa para ferro grão n</t>
    </r>
    <r>
      <rPr>
        <vertAlign val="superscript"/>
        <sz val="10"/>
        <rFont val="Calibri"/>
        <family val="2"/>
      </rPr>
      <t>o</t>
    </r>
    <r>
      <rPr>
        <sz val="10"/>
        <rFont val="Calibri"/>
        <family val="2"/>
      </rPr>
      <t xml:space="preserve"> 120</t>
    </r>
  </si>
  <si>
    <r>
      <t>Folha de lixa para ferro grão n</t>
    </r>
    <r>
      <rPr>
        <vertAlign val="superscript"/>
        <sz val="10"/>
        <rFont val="Calibri"/>
        <family val="2"/>
      </rPr>
      <t>o</t>
    </r>
    <r>
      <rPr>
        <sz val="10"/>
        <rFont val="Calibri"/>
        <family val="2"/>
      </rPr>
      <t xml:space="preserve"> 220</t>
    </r>
  </si>
  <si>
    <t>Arruela lisa, zincada, com diâmetro interno de 10 mm</t>
  </si>
  <si>
    <t>Prego de aço com cabeça 17 x 27</t>
  </si>
  <si>
    <t>Trincha 2" (pincel) para tinta à base de água ou solvente.</t>
  </si>
  <si>
    <t>Trincha 3" (pincel) para tinta à base de água ou solvente.</t>
  </si>
  <si>
    <t>Rolo de lã de carneiro com 23 cm e cabo, para pintura de parede lisa</t>
  </si>
  <si>
    <t>Rolo de lã de carneiro com 23 cm e cabo, para pintura de parede rugosa</t>
  </si>
  <si>
    <t>Lata de thinner com 900 ml</t>
  </si>
  <si>
    <t>Estopa de 100% algodão</t>
  </si>
  <si>
    <t>Adesivo Plástico para PVC Frasco 175g (Cola de conexões hidraulicas)</t>
  </si>
  <si>
    <t>broca de aço rápido (furar ferro e madeira) 2 mm</t>
  </si>
  <si>
    <t>broca de aço rápido (furar ferro e madeira) 4 mm</t>
  </si>
  <si>
    <t>broca de aço rápido (furar ferro e madeira) 7 mm</t>
  </si>
  <si>
    <t>Disco de corte fine cut para esmerilhadeira ângular, 115 x 1 x 22,2 mm</t>
  </si>
  <si>
    <t>Fita zebrada para isolamento de área, rolo de 70mm x 200m</t>
  </si>
  <si>
    <t>Rolo de estanho para solda de 1mm com 500g</t>
  </si>
  <si>
    <t>Eletrodo revestido E6013 de 3,25 mm para solda eletrica, lata 20 Kg</t>
  </si>
  <si>
    <t>Óleo Lubrificante multiuso, ISO VG 10, frasco de  100 ml</t>
  </si>
  <si>
    <t>Pincel pintura predial, material cerdas sintético, tipo cabo curto, tamanho 3, características adicionais com virola aço estanhado</t>
  </si>
  <si>
    <t>Pincel pintura predial, material cerdas sintético, tipo cabo curto, tamanho 2, características adicionais com virola aço estanhado</t>
  </si>
  <si>
    <t>Pincel pintura predial, material cerdas pelo de esquilo, tipo cabo curto, tamanho 1/2, formato retangular, características adicionais com virola aço estanhado</t>
  </si>
  <si>
    <t>Pincel pintura predial, material cerdas pelo orelha de boi, tipo cabo curto, tamanho 1 1/2, formato retangular, características adicionais com virola flandres anodizado/estanhado</t>
  </si>
  <si>
    <t>Pincel pintura predial, material cerdas gris especial, tipo cabo longo, tamanho 6, formato plano</t>
  </si>
  <si>
    <t>Fita isolante de auto-fusão</t>
  </si>
  <si>
    <t>Especificação</t>
  </si>
  <si>
    <t>ALICATE BICO MEIA CANA, MATERIAL AÇO CROMO VANÁDIO, TIPO CABO ISOLADO, TIPO RETO, COMPRIMENTO 6, CARACTERÍSTICAS ADICIONAIS LONGO, FOSTATIZADO</t>
  </si>
  <si>
    <t>ALICATE BOMBA D´ÁGUA, MATERIAL AÇO VANÁDIO, TRATAMENTO SUPERFICIAL NIQUELADO, MORDENTE INFERIOR CURVO E BATENTE DE SEGURANÇA, AJUSTE 6 POSIÇÕES, ABERTURA DA BOCA 40 MM, CARACTERÍSTICAS ADICIONAIS RANHURAS USINADAS 6 POSIÇÕES E ISOLAMENTO NO CABO</t>
  </si>
  <si>
    <t>ALICATE DE PRESSÃO, MATERIAL FERRO, TRATAMENTO SUPERFICIAL AÇO VANÁDIO, MORDENTE INFERIOR CURVO, AJUSTE UMA POSIÇÃO, CARACTERÍSTICAS ADICIONAIS ISOLAMENTO NO CABO, TAMANHO 10</t>
  </si>
  <si>
    <t>ALICATE UNIVERSAL DE 8” .</t>
  </si>
  <si>
    <t>ARCO SERRA, LÂMINA SERRA STANDARD 12 POLEGADAS, MATERIAL CABO ALUMÍNIO, TRATAMENTO SUPERFICIAL PINTURA ELETROSTÁTICA, TAMANHO 12, CARACTERÍSTICAS ADICIONAIS PROFUNDIDADE DE CORTE DE 90 MM</t>
  </si>
  <si>
    <t>BOLSA PARA FERRAMENTAS EM LONA ( VERDE OU PRETA) COM FUNDO REFORÇADO EM PVC/EMBORRACHADO, ALÇA PARA TRANSPORTE E ZÍPER PARA FECHAMENTO TAMANHO MÉDIO</t>
  </si>
  <si>
    <t>BROXA PINTURA, MATERIAL BASE MADEIRA, MATERIAL CABO MADEIRA, MATERIAL CERDAS SINTÉTICO E FIBRAS NATURAIS, FORMATO RETANGULAR, TAMANHO GRANDE, COR CABO MARROM, APLICAÇÃO CAIAÇÃO E PISOS, BITOLA 77MM, COMPRIMENTO 120 MM</t>
  </si>
  <si>
    <t>CARRINHO DE MAO CAPACIDADE MINIMA 50 LITROS, PNEU COM CAMARA 8 POLEGADAS</t>
  </si>
  <si>
    <t>CAVALETE PINUS 75X80 MULTI-USO</t>
  </si>
  <si>
    <t>CHAVE FENDA, MATERIAL HASTE AÇO CROMO VANÁDIO, MATERIAL CABO POLIPROPILENO, TIPO PONTA CRUZADA PHILLIPS, BITOLA 1/8 X 3, COMPRIMENTO HASTE MÁXIMO DE 130, CARACTERÍSTICAS ADICIONAIS PONTA FOSFATIZADA, ACABAMENTO  SUPERFICIAL HASTE NIQUELADA E CROMADA</t>
  </si>
  <si>
    <t>CHAVE FENDA, MATERIAL HASTE AÇO VANÁDIO 50CRV4 / 73MOV52, MATERIAL CABO POLIPROPILENO, TIPO PONTA CRUZADA, BITOLA 3/16´ X 4´, COMPRIMENTO HASTE 190, CARACTERÍSTICAS ADICIONAIS PONTA FOSFATIZADA, ACABAMENTO SUPERFICIAL HASTE NIQUELADO E  CROMADO</t>
  </si>
  <si>
    <t>CHAVE DE FENDA, MATERIAL AÇO CROMO VANÁDIO, CABO POLIPROPILENO SIMPLES, TAMANHO 8 X 5/16, CARACTERÍSTICAS ADICIONAIS HASTE NIQUELADA E CROMADA/PONTA FOSFATIZADA, TIPO PONTA FENDA CRUZADA</t>
  </si>
  <si>
    <t>CHAVE FENDA, MATERIAL HASTE AÇO VANÁDIO 50CRV4 / 73MOV52, MATERIAL CABO POLIPROPILENO, TIPO PONTA CRUZADA, BITOLA 5/16´ X 6´, COMPRIMENTO HASTE 260, CARACTERÍSTICAS ADICIONAIS PONTA FOSFATIZADA, ACABAMENTO SUPERFICIAL HASTE NIQUELADO E CROMADO</t>
  </si>
  <si>
    <t>CHAVE FENDA, MATERIAL HASTE CARBONO TEMPERADO, MATERIAL CABO POLIPROPILENO, TIPO PONTA CHATA, BITOLA 1/4´ X 6´</t>
  </si>
  <si>
    <t>CHAVE FENDA, MATERIAL HASTE CARBONO TEMPERADO, MATERIAL CABO POLIPROPILENO, TIPO PONTA CHATA, BITOLA 1/8´ X 4´</t>
  </si>
  <si>
    <t>CHAVE FENDA, MATERIAL HASTE CARBONO TEMPERADO, MATERIAL CABO POLIPROPILENO, TIPO PONTA PHILIPS, BITOLA 3/16´ X 5´</t>
  </si>
  <si>
    <t>LIMA MANUAL, TIPO MURÇA, FORMATO REDONDA, COMPRIMENTO 8, DIÂMETRO 3/16</t>
  </si>
  <si>
    <t>LIMA MANUAL, TIPO MURÇA, FORMATO REDONDA, COMPRIMENTO 8, DIÂMETRO 7/32</t>
  </si>
  <si>
    <t>LIMA MANUAL, FORMATO TRIANGULAR, COMPRIMENTO 6, CARACTERÍSTICAS ADICIONAIS PARA SERROTE</t>
  </si>
  <si>
    <t>CHAVE DE TESTE ELÉTRICO, MATERIAL HASTE PLÁSTICO, COMPRIMENTO 150, TIPO PONTA METAL, MATERIAL CABO PLÁSTICO, COR CABO AZUL, CARACTERÍSTICAS ADICIONAIS CANETA, PORTÁTIL, DETECÇÃO TENSÃO, SINAL DE ALERTA</t>
  </si>
  <si>
    <t>CINTO PORTA FERRAMENTAS EM LONA COM 12 BOLSOS, FABRICADO EM POLIÉSTER, ENGATES PLÁSTICOS, 2 SUPORTES EXTERNOS EM COURO PARA FERRAMENTAS DIVERSAS.</t>
  </si>
  <si>
    <t>COLHER PEDREIRO, MATERIAL AÇO CARBONO, TAMANHO 10, MATERIAL CABO MADEIRA, CARACTERÍSTICAS ADICIONAIS CANTO ARREDONDADO</t>
  </si>
  <si>
    <t>COLHER PEDREIRO, MATERIAL AÇO TEMPERADO E REVENIDO, TAMANHO 8, MATERIAL CABO MADEIRA NOBRE, CARACTERÍSTICAS ADICIONAIS HASTE E LÂMINA INTEIRIÇA, OVAL</t>
  </si>
  <si>
    <t>ESPÁTULA, MATERIAL LÂMINA METAL, MATERIAL CABO MADEIRA, TAMANHO 8, APLICAÇÃO MASSA E RASPAGEM</t>
  </si>
  <si>
    <t>ESQUADRO METAL 300MM: ESQUADRO DE METAL, RÉGUA DE METAL E CABO DE METAL. ESCALA EM MILIMETRO E POLEGADA.</t>
  </si>
  <si>
    <t>ESTILETE, TIPO ESTREITO, ESPESSURA 9, MATERIAL CORPO EMBORRACHADO, CARACTERÍSTICAS ADICIONAIS BLOQUADOR DE LÂMINA COM PARAFUSO</t>
  </si>
  <si>
    <t>ESTILETE, TIPO LARGO, ESPESSURA 18, MATERIAL CORPO EMBORRACHADO, CARACTERÍSTICAS ADICIONAIS TRAVA BLOQUEIO DE CORTE/ABRIDOR DE LATAS E ROSQUE</t>
  </si>
  <si>
    <t>FORMÃO. MATERIAL CORPO CROMO VANÁDIO, MATERIAL CABO MADEIRA, BITOLA 1</t>
  </si>
  <si>
    <t>FORMÃO. MATERIAL CORPO CROMO VANÁDIO, MATERIAL CABO MADEIRA, BITOLA 1/2</t>
  </si>
  <si>
    <t>FORMÃO. MATERIAL CORPO CROMO VANÁDIO, MATERIAL CABO MADEIRA, BITOLA ¼</t>
  </si>
  <si>
    <t>FORMÃO. MATERIAL CORPO CROMO VANÁDIO, MATERIAL CABO MADEIRA, BITOLA 3/4</t>
  </si>
  <si>
    <t>JOGO DE CHAVE FENDA ISOLADA: JOGO DE CHAVE DE FENDA ISOLADA, MATERIAL AÇO CROMO-VANÁDIO, PONTA  TIPO CHATA E CRUZADA (PHILLIPS), LARGURA DA PONTA É IGUAL AO DIÂMETRO DA HASTE, POSSIBILITANDO O USO EM BORNES DE COMPONENTES ELÉTRICO E ELETRÔNICO. CHAVE ISOLADA ATÉ 1000 V, CONFORME A NORMA ABNT NBR 9699 (ATENDENDO À NR10). TAMANHOS APROXIMADOS (1/4X6") ; (3/16X4") ; (1/8X6") ; (1/4X6") ; (3/16X4") ; (1/8X3")</t>
  </si>
  <si>
    <t>pacote (10 unid)</t>
  </si>
  <si>
    <t>LIMA CHATA, TIPO BASTARDA, COMPRIMENTO 10, USO DESBASTE RÁPIDO, MATERIAIS FERROSOS/NÃO FERROSOS, APLICAÇÃO LIMAGEM FERRAMENTAS MECÂNICAS E FERRAMENTARIA, CARACTERÍSTICAS ADICIONAIS AMBAS AS FACES COM PICADO DUPLO E CANTOS COM PICA</t>
  </si>
  <si>
    <t>LIMA MANUAL, TIPO GROSA, FORMATO MEIA CANA, COMPRIMENTO 250</t>
  </si>
  <si>
    <t>LIMA MANUAL, TIPO BASTARDA, FORMATO QUADRADA, COMPRIMENTO 8, CARACTERÍSTICAS ADICIONAIS PICADO DUPLO E CABO, ESPESSURA 3/16</t>
  </si>
  <si>
    <t>MARRETA, MATERIAL AÇO CARBONO FORJADO E TEMPERADO, MATERIAL CABO MADEIRA, PESO 1,50, TIPO OITAVADO, ACABAMENTO SUPERFICIAL PINTURA ELETROSTÁTICA</t>
  </si>
  <si>
    <t>MARRETA, MATERIAL AÇO CARBONO FORJADO E TEMPERADO, MATERIAL CABO MADEIRA, PESO 1, TIPO OITAVADO, ACABAMENTO SUPERFICIAL PINTURA ELETROSTÁTICA</t>
  </si>
  <si>
    <t>MARRETA, MATERIAL AÇO CARBONO FORJADO E TEMPERADO, MATERIAL CABO MADEIRA, PESO 2, TIPO OITAVADO, ACABAMENTO SUPERFICIAL PINTURA ELETROSTÁTICA</t>
  </si>
  <si>
    <t>MARTELO, MATERIAL FERRO, MATERIAL CABO MADEIRA, TIPO UNHA, TAMANHO 25</t>
  </si>
  <si>
    <t>MARTELO, MATERIAL BORRACHA, MATERIAL CABO MADEIRA, PESO 450</t>
  </si>
  <si>
    <t>NÍVEL BOLHA, MATERIAL CORPO ALUMÍNIO, TIPO BOLHA RETIFICADA, COMPRIMENTO 600, QUANTIDADE POSIÇÃO BOLHA 2 DE PRUMO/1 DE NÍVEL</t>
  </si>
  <si>
    <t>NÍVEL BOLHA, MATERIAL CORPO MADEIRA, COMPRIMENTO 300, CARACTERÍSTICAS ADICIONAIS AMPOLAS 360 GRAUS, LEITURA ACURADA E ESTRUTURA</t>
  </si>
  <si>
    <t>PLAINA MANUAL, MATERIAL CORPO METÁLICO, TAMANHO 9 3/4, MATERIAL CABO MADEIRA, MATERIAL LÂMINA AÇO CROMO VANÁDIO, LARGURA LÂMINA 2</t>
  </si>
  <si>
    <t>PRUMO DE CENTRO 500G METÁLICO. COMPLETO COM CORDA E TACO.</t>
  </si>
  <si>
    <t>RASPADOR DE PINTURA 4CM - LÂMINA AFIADA EM AMBAS EXTREMIDADES PARA GIRO APÓS DESGASTE CORPO EM PLÁSTICO , LÂMINA DE AÇO SAE 1070</t>
  </si>
  <si>
    <t>RÉGUA PEDREIRO, MATERIAL ALUMÍNIO, COMPRIMENTO  2m</t>
  </si>
  <si>
    <t>TALHADEIRA, MATERIAL AÇO, TIPO CHATO, COMPRIMENTO TOTAL 10, PESO 0,90, APLICAÇÃO PEDREIRO, ACABAMENTO SUPERFICIAL PINTADO, CARACTERÍSTICAS ADICIONAIS COM APUNHADURA</t>
  </si>
  <si>
    <t>TORQUÊS, MATERIAL CORPO AÇO FORJADO E TEMPERADO, TIPO ARMADOR, TIPO ACABAMENTO OXIDADO, TAMANHO 12, PESO 600, CARACTERÍSTICAS ADICIONAIS MANDÍBULAS LIXADAS</t>
  </si>
  <si>
    <t>CHAVE AJUSTÁVEL(INGLESA) 12 POLEGADAS</t>
  </si>
  <si>
    <t>ESCOVA DE AÇO COM CABO</t>
  </si>
  <si>
    <t>JOGO DE CHAVE DE COMBINADA DE 6MM A  22MM</t>
  </si>
  <si>
    <t>LINHA DE PEDREIRO (Rolo com 100m)</t>
  </si>
  <si>
    <t>ESCADA EXTENSÍVEL, MATERIAL FIBRA VIDRO, MATERIAL DEGRAU ALUMÍNIO, QUANTIDADE DEGRAUS 25, ALTURA FECHADA 4,63, ALTURA ABERTA 7,86, COR LARANJA, PESO 27,50, CARACTERÍSTICAS ADICIONAIS FAIXAS DE SEGURANÇA AMARELAS E PRETAS, APLICAÇÃO CORPO DE BOMBEIROS</t>
  </si>
  <si>
    <t>454986 / 310244 / 362630 / 463395</t>
  </si>
  <si>
    <t>PLACA DE SINALIZAÇÃO DOBRÁVEL (COM AS INSCRIÇÕES: “EM MANUTENÇÃO”, EM PVC RÍGIDO, INSCRIÇÃO EM AMBOS OS LADOS, COR AMARELA</t>
  </si>
  <si>
    <t>PLACA DE SINALIZAÇÃO DOBRÁVEL (COM AS INSCRIÇÕES: “NÃO ENTRE. BANHEIRO EM MANUTENÇÃO”), EM PVC RÍGIDO, INSCRIÇÃO EM AMBOS OS LADOS, COR AMARELA</t>
  </si>
  <si>
    <t>Chave Ajustável tipo Inglesa 10";</t>
  </si>
  <si>
    <t>Chave Ajustável tipo Inglesa 15";</t>
  </si>
  <si>
    <t>Chave Ajustável tipo Inglesa 8";</t>
  </si>
  <si>
    <t>Chaves de grifo n° 08;</t>
  </si>
  <si>
    <t>Chaves de grifo n° 10;</t>
  </si>
  <si>
    <t>Chaves de grifo n° 14;</t>
  </si>
  <si>
    <t>Chaves de grifo n° 18;</t>
  </si>
  <si>
    <t>Chaves de grifo n° 24;</t>
  </si>
  <si>
    <t>Chaves de grifo n° 36;</t>
  </si>
  <si>
    <t>Cinto Segurança modelo Paraquedista Ajuste total;</t>
  </si>
  <si>
    <t>Desempenadeira de aço para colocação de azuleijo</t>
  </si>
  <si>
    <t>Desempenadeira de aço para massa corrida</t>
  </si>
  <si>
    <t>Desempenadeira lisa plastica 18 x 30cm</t>
  </si>
  <si>
    <t>Jogo de Soquetes Sextavados 1/2 Profissional (Aço cromo vanádio temperado-Encaixe de 1/2" 20 Soquetes Sextavados (mm): 10 à 32mm) - 21 peças</t>
  </si>
  <si>
    <t>Desentupidor de esgotos, pias, ralos e banheiras</t>
  </si>
  <si>
    <t>Alicate amperímetro, material plástico, tipo digital, corrente 0.1 a 1.000, voltagem 1 va 750 ac/dc 1 a 1000, alimentação bateria, voltagem bateria 9, resistência 2, aplicação eletricidade</t>
  </si>
  <si>
    <t>Lixadeira: potência 1.600 watts, rotação por min. 4.000 rpm, diâmetro do furo m14, diâmetro do disco 180mm (7´), capacidades: disco de borracha 7´ (180mm) - disco de lixa 7´ (180mm), eixo m14, massa (peso) 3.4 kg,acompanha: disco de borracha, punho, chave de pino, de primeira linha.</t>
  </si>
  <si>
    <t>Nível magnético de alumínio anodizado 14" com duas ampolas (0º e 90º)</t>
  </si>
  <si>
    <t>Multímetro, tensão 1.000, tensão ac 750, corrente dc 20, corrente ac 20, resistência 20, características adicionais display digital/capacitância 4n/teste de diodo/</t>
  </si>
  <si>
    <t>Câmera Termográfica Profissional Digital para Serviços de Termografia em Quadros Elétricos;</t>
  </si>
  <si>
    <t>Qtde. Estimada</t>
  </si>
  <si>
    <t>INSUMOS</t>
  </si>
  <si>
    <t>Insumos</t>
  </si>
  <si>
    <t>Ferramentas</t>
  </si>
  <si>
    <t>Equipamentos</t>
  </si>
  <si>
    <t>QUANTIDADE DE POSTOS</t>
  </si>
  <si>
    <r>
      <t xml:space="preserve">VALOR </t>
    </r>
    <r>
      <rPr>
        <u val="single"/>
        <sz val="10"/>
        <rFont val="Calibri"/>
        <family val="2"/>
      </rPr>
      <t>MENSAL</t>
    </r>
    <r>
      <rPr>
        <sz val="10"/>
        <rFont val="Calibri"/>
        <family val="2"/>
      </rPr>
      <t xml:space="preserve"> DOS INSUMOS A SEREM UTILIZADOS NA EXECUÇÃO CONTRATUAL</t>
    </r>
  </si>
  <si>
    <r>
      <t xml:space="preserve">VALOR </t>
    </r>
    <r>
      <rPr>
        <u val="single"/>
        <sz val="10"/>
        <rFont val="Calibri"/>
        <family val="2"/>
      </rPr>
      <t>MENSAL</t>
    </r>
    <r>
      <rPr>
        <sz val="10"/>
        <rFont val="Calibri"/>
        <family val="2"/>
      </rPr>
      <t xml:space="preserve"> DAS FERRAMENTAS A SEREM UTILIZADAS NA EXECUÇÃO CONTRATUAL</t>
    </r>
  </si>
  <si>
    <r>
      <t xml:space="preserve">VALOR </t>
    </r>
    <r>
      <rPr>
        <b/>
        <u val="single"/>
        <sz val="10"/>
        <rFont val="Calibri"/>
        <family val="2"/>
      </rPr>
      <t>MENSAL</t>
    </r>
    <r>
      <rPr>
        <b/>
        <sz val="10"/>
        <rFont val="Calibri"/>
        <family val="2"/>
      </rPr>
      <t xml:space="preserve"> DOS INSUMOS POR FUNCIONÁRIO</t>
    </r>
  </si>
  <si>
    <r>
      <t xml:space="preserve">VALOR </t>
    </r>
    <r>
      <rPr>
        <b/>
        <u val="single"/>
        <sz val="10"/>
        <rFont val="Calibri"/>
        <family val="2"/>
      </rPr>
      <t>MENSAL</t>
    </r>
    <r>
      <rPr>
        <b/>
        <sz val="10"/>
        <rFont val="Calibri"/>
        <family val="2"/>
      </rPr>
      <t xml:space="preserve"> DAS FERRAMENTAS POR FUNCIONÁRIO</t>
    </r>
  </si>
  <si>
    <t>CLÁUSULA TERCEIRA</t>
  </si>
  <si>
    <t>Oficial de Manutenção Predial - 44 horas semanais - Diurno</t>
  </si>
  <si>
    <t>5143-25</t>
  </si>
  <si>
    <t>QUADRO RESUMO DOS SERVIÇOS</t>
  </si>
  <si>
    <t>ITEM DO EDITAL</t>
  </si>
  <si>
    <t>TIPO DE SERVIÇO (A)</t>
  </si>
  <si>
    <t>VALOR PROPOSTO POR EMPREGADO (B)</t>
  </si>
  <si>
    <t>QUANTIDADE DE EMPREGADOS POR POSTO ( C )</t>
  </si>
  <si>
    <t>VALOR PROPOSTO POR POSTO (D) = (B X C)</t>
  </si>
  <si>
    <t>Eletricista Predial</t>
  </si>
  <si>
    <t>Oficial de Manutenção Predial</t>
  </si>
  <si>
    <t>ÚNICO</t>
  </si>
  <si>
    <t>Eletricista Predial - CBO 9511-05</t>
  </si>
  <si>
    <t>Oficial de Manutenção - CBO 5143-25</t>
  </si>
  <si>
    <t>Engenheiro Civil - CBO 2142-05</t>
  </si>
  <si>
    <t>Jardineiro - CBO 6220-20</t>
  </si>
  <si>
    <t>Materiais de consumo a serem fornecidos para composição do estoque mínimo necessário à manutenção preventiva e corretiva (sob demanda)</t>
  </si>
  <si>
    <t>Recarga extintores (todas as unidades)</t>
  </si>
  <si>
    <t>GRUPO</t>
  </si>
  <si>
    <t>CATSER</t>
  </si>
  <si>
    <t>ITEM</t>
  </si>
  <si>
    <t>VALOR MENSAL</t>
  </si>
  <si>
    <t>CBO</t>
  </si>
  <si>
    <t>Araçatuba</t>
  </si>
  <si>
    <t>Oficial de manutenção</t>
  </si>
  <si>
    <t>Engenheiro Civil</t>
  </si>
  <si>
    <t>Campinas</t>
  </si>
  <si>
    <t>Presidente Prudente</t>
  </si>
  <si>
    <t>São José do Rio Preto</t>
  </si>
  <si>
    <t>Guarulhos</t>
  </si>
  <si>
    <t>Osasco</t>
  </si>
  <si>
    <t>Santo André</t>
  </si>
  <si>
    <t>Jardinagem</t>
  </si>
  <si>
    <t>Jardineiro</t>
  </si>
  <si>
    <t>SERVIÇOS</t>
  </si>
  <si>
    <t>QUADRO RESUMO DA MÃO DE OBRA RESIDENTE</t>
  </si>
  <si>
    <t>CARGO</t>
  </si>
  <si>
    <t>Corretivas e preventivas</t>
  </si>
  <si>
    <t>Visitas Técnicas</t>
  </si>
  <si>
    <t>2142-05</t>
  </si>
  <si>
    <t>6220-20</t>
  </si>
  <si>
    <t>Santo Amaro</t>
  </si>
  <si>
    <t>Santos</t>
  </si>
  <si>
    <t>Botucatu</t>
  </si>
  <si>
    <t>Itapetininga</t>
  </si>
  <si>
    <t>Marília</t>
  </si>
  <si>
    <t>VALOR TOTAL</t>
  </si>
  <si>
    <t>Terra vegetal</t>
  </si>
  <si>
    <t>SUBTOTAL (MÃO DE OBRA)</t>
  </si>
  <si>
    <t>BDI</t>
  </si>
  <si>
    <t>Administração Central</t>
  </si>
  <si>
    <t>Seguros e Garantias</t>
  </si>
  <si>
    <t>Despesas Financeiras</t>
  </si>
  <si>
    <t>Riscos e Imprevistos</t>
  </si>
  <si>
    <t>Lucro Bruto</t>
  </si>
  <si>
    <t>ISS</t>
  </si>
  <si>
    <t>TOTAL DO BDI</t>
  </si>
  <si>
    <t>BDI - BENEFÍCIOS E DESPESAS INDIRETAS SOBRE A MÃO DE OBRA NÃO RESIDENTE</t>
  </si>
  <si>
    <t>OBSERVAÇÃO PARA O LICITANTE: CAMPOS EDITÁVEIS EM AMARELO</t>
  </si>
  <si>
    <t>OBSERVAÇÃO PARA O LICITANTE - CAMPOS EDITÁVEIS EM AMARELO</t>
  </si>
  <si>
    <t xml:space="preserve">Observação: </t>
  </si>
  <si>
    <t>Referências: 2º Quartil - Construções de Edifícios - Acórdão 2622/2013 - TCU - Plénário.</t>
  </si>
  <si>
    <t>Referências: 1º Quartil - Materiais - Acórdão 2622/2013 - TCU - Plénário.</t>
  </si>
  <si>
    <t>BDI - BENEFÍCIOS E DESPESAS INDIRETAS - MATERIAIS E INSUMOS</t>
  </si>
  <si>
    <r>
      <t xml:space="preserve">VALOR </t>
    </r>
    <r>
      <rPr>
        <b/>
        <u val="single"/>
        <sz val="10"/>
        <rFont val="Calibri"/>
        <family val="2"/>
      </rPr>
      <t>ANUAL</t>
    </r>
    <r>
      <rPr>
        <b/>
        <sz val="10"/>
        <rFont val="Calibri"/>
        <family val="2"/>
      </rPr>
      <t xml:space="preserve"> DOS INSUMOS A SEREM UTILIZADOS NA EXECUÇÃO CONTRATUAL </t>
    </r>
  </si>
  <si>
    <r>
      <t xml:space="preserve">VALOR </t>
    </r>
    <r>
      <rPr>
        <b/>
        <u val="single"/>
        <sz val="10"/>
        <rFont val="Calibri"/>
        <family val="2"/>
      </rPr>
      <t>ANUAL</t>
    </r>
    <r>
      <rPr>
        <b/>
        <sz val="10"/>
        <rFont val="Calibri"/>
        <family val="2"/>
      </rPr>
      <t xml:space="preserve"> DAS FERRAMENTAS A SEREM UTILIZADAS NA EXECUÇÃO CONTRATUAL </t>
    </r>
  </si>
  <si>
    <r>
      <t xml:space="preserve">VALOR </t>
    </r>
    <r>
      <rPr>
        <b/>
        <u val="single"/>
        <sz val="11"/>
        <rFont val="Calibri"/>
        <family val="2"/>
      </rPr>
      <t xml:space="preserve">ANUAL </t>
    </r>
    <r>
      <rPr>
        <b/>
        <sz val="11"/>
        <rFont val="Calibri"/>
        <family val="2"/>
      </rPr>
      <t>SUBTOTAL DOS MATERIAIS A SEREM UTILIZADOS NA EXECUÇÃO CONTRATUAL</t>
    </r>
  </si>
  <si>
    <t>Percentual de desconto</t>
  </si>
  <si>
    <t>SUBITEM</t>
  </si>
  <si>
    <t>1.1</t>
  </si>
  <si>
    <t>1.2</t>
  </si>
  <si>
    <t>Subtotal</t>
  </si>
  <si>
    <t>2.1</t>
  </si>
  <si>
    <t>3.1</t>
  </si>
  <si>
    <t>5.1.</t>
  </si>
  <si>
    <t>2.2</t>
  </si>
  <si>
    <t>Total</t>
  </si>
  <si>
    <t>Reserva de valor</t>
  </si>
  <si>
    <t>Valor Unitário Total</t>
  </si>
  <si>
    <t>Fornecimento de mão de obra com dedicação exclusiva, com previsão de insumos e ferramentas</t>
  </si>
  <si>
    <t>Recargas e/ou testes em extintores e mangueiras de incêndios</t>
  </si>
  <si>
    <t>Anotação de Responsabilidade Técnica - Para emissão de laudos e relatórios</t>
  </si>
  <si>
    <t>INSPEÇÃO DE EXTINTORES COM RECARGA E TESTE HIDROSTÁTICO</t>
  </si>
  <si>
    <t>Extintor</t>
  </si>
  <si>
    <t>Quantidade</t>
  </si>
  <si>
    <t>Valor unitário teste hidrostático</t>
  </si>
  <si>
    <t>Sede – São Paulo</t>
  </si>
  <si>
    <t>Água 10L</t>
  </si>
  <si>
    <t>CO2 6KG</t>
  </si>
  <si>
    <t>PQS BC 6KG</t>
  </si>
  <si>
    <t>BC 20KG</t>
  </si>
  <si>
    <t>Coren Educação – São Paulo</t>
  </si>
  <si>
    <t>PQS ABC 6KG</t>
  </si>
  <si>
    <t>PQS BC 4KG</t>
  </si>
  <si>
    <t>MANGUEIRAS PARA MANUTENÇÃO E TESTE</t>
  </si>
  <si>
    <t>Comprimento (m)</t>
  </si>
  <si>
    <t>Valor total</t>
  </si>
  <si>
    <t>Edifício Sede – São Paulo</t>
  </si>
  <si>
    <t>Coren-SP Educação</t>
  </si>
  <si>
    <t>VALOR TOTAL ANUAL RECARGA + TESTES EM MANGUEIRAS E EXTINTORES</t>
  </si>
  <si>
    <t>O BDI PARA ESTA PLANILHA DEVERÁ SER PREENCHIDO NA PLANILHA "BDI MOB NÃO RESIDENTE"</t>
  </si>
  <si>
    <t xml:space="preserve">Fornecimento de materiais de consumo, peças, outros insumos </t>
  </si>
  <si>
    <r>
      <t xml:space="preserve">ANEXO </t>
    </r>
    <r>
      <rPr>
        <b/>
        <sz val="10"/>
        <rFont val="Calibri Light"/>
        <family val="2"/>
      </rPr>
      <t>VIII - PLANILHA DE CUSTOS E FORMAÇÃO DE PREÇOS</t>
    </r>
  </si>
  <si>
    <r>
      <t>ANEXO V</t>
    </r>
    <r>
      <rPr>
        <b/>
        <sz val="10"/>
        <rFont val="Calibri Light"/>
        <family val="2"/>
      </rPr>
      <t>III - PLANILHA DE CUSTOS E FORMAÇÃO DE PREÇOS</t>
    </r>
  </si>
  <si>
    <t>VALOR TOTAL ANUAL ESTIMADO</t>
  </si>
  <si>
    <t xml:space="preserve">ANEXO VIII - PLANILHA DE CUSTOS E FORMAÇÃO DE PREÇOS </t>
  </si>
  <si>
    <t xml:space="preserve">Interruptor bipolar simples de 1 módulo. Cor branca. 10 A, 250 V, 04 bornes para conexão elétrica, adequado para reposição em espelhos modelo 612005 Pialplus/Pial Legrand, padrão de espelhos utilizado. </t>
  </si>
  <si>
    <t>Pacote com 100</t>
  </si>
  <si>
    <t>Extensão de cabo PP 2x2,5mm2 com mínimo de 20m;</t>
  </si>
  <si>
    <t>VALOR DA DIÁRIA</t>
  </si>
  <si>
    <t>Fornecimento de materiais e peças de reposição para execução dos serviços de manutenção predial preditiva ou corretiva e manutenção de equipamentos – Sob demanda</t>
  </si>
  <si>
    <t>Total Mensal</t>
  </si>
  <si>
    <t xml:space="preserve">VALOR MENSAL DOS EQUIPAMENTOS A SEREM UTILIZADOS NA EXECUÇÃO CONTRATUAL </t>
  </si>
  <si>
    <t>VALOR DOS EQUIPAMENTOS POR FUNCIONÁRIO</t>
  </si>
  <si>
    <t>Parafuso  cabeça chata com bucha 6</t>
  </si>
  <si>
    <t>Parafuso  cabeça chata com bucha 8</t>
  </si>
  <si>
    <t>Parafuso cabeça chata com bucha 10</t>
  </si>
  <si>
    <t>Parafuso rosca soberba zincado cabeça chata fenda simples 3,5 x 25 MM (1")</t>
  </si>
  <si>
    <t>Parafuso aço zincado com rosca soberba, cabeça chata e fenda simples, diâmetro 4,2 MM, comprimento * 32 * mm</t>
  </si>
  <si>
    <t>Parafuso rosca soberba zincado cabeça chata fenda simples 5,5 x 65 mm (2.1/2')</t>
  </si>
  <si>
    <t>Submódulo 2.2 - Apenas o FGTS</t>
  </si>
  <si>
    <t>Subtotal: Módulo 1 + Submódulo 2.1 + FGTS (Submódulo 2.2) + Submódulo 2.3</t>
  </si>
  <si>
    <t>Multa sobre o FGTS (40%)</t>
  </si>
  <si>
    <t>TOTAL Submódulo 3.1</t>
  </si>
  <si>
    <t>TOTAL Submódulo 3.2</t>
  </si>
  <si>
    <t>Acrésimo de 3 dias por ano completado</t>
  </si>
  <si>
    <t>Quantidade de anos completados</t>
  </si>
  <si>
    <t>TOTAL Submódulo 3.3</t>
  </si>
  <si>
    <t>Cálculo do número de dias de reposição do profissional ausente para cada evento</t>
  </si>
  <si>
    <t>Evento</t>
  </si>
  <si>
    <t>Incidência anual</t>
  </si>
  <si>
    <t>Duração legal da ausência</t>
  </si>
  <si>
    <t>Proporção de dias afetados</t>
  </si>
  <si>
    <t>Dias de reposição</t>
  </si>
  <si>
    <t>Férias</t>
  </si>
  <si>
    <t>Ausência justificada</t>
  </si>
  <si>
    <t>Acidente de trabalho</t>
  </si>
  <si>
    <t>Afastamento por doença</t>
  </si>
  <si>
    <t>Consulta médica filho</t>
  </si>
  <si>
    <t>Óbitos na família</t>
  </si>
  <si>
    <t>Casamento</t>
  </si>
  <si>
    <t>Doação de sangue</t>
  </si>
  <si>
    <t>Testemunho</t>
  </si>
  <si>
    <t>Paternidade</t>
  </si>
  <si>
    <t>Maternidade</t>
  </si>
  <si>
    <t>Consulta pré-natal</t>
  </si>
  <si>
    <t>Limite de dias para reposição no ano</t>
  </si>
  <si>
    <t>Custo diário de reposição = (Módulo 1 + Módulo 2 + Módulo 3) / 30 dias</t>
  </si>
  <si>
    <t>Custo anual de reposição = Custo diário de reposição x Total de dias para reposição no ano</t>
  </si>
  <si>
    <t>Provisão mensal do custo de reposição</t>
  </si>
  <si>
    <r>
      <t xml:space="preserve">Submódulo 3.3 - Acréscimo sobre o Aviso Prévio a ser considerado como indenizado </t>
    </r>
    <r>
      <rPr>
        <b/>
        <sz val="10"/>
        <color indexed="10"/>
        <rFont val="Calibri Light"/>
        <family val="2"/>
      </rPr>
      <t>(Aplicável somente nos casos de prorrogação contratual)</t>
    </r>
  </si>
  <si>
    <t>10 emissões de ART</t>
  </si>
  <si>
    <t>Base de Cálculo: Submódulo 3.1 + Submódulo 3.2</t>
  </si>
  <si>
    <t>Provisionamento para cada ano completado (10%)</t>
  </si>
  <si>
    <t>CPRB</t>
  </si>
  <si>
    <t>Marca de Referência</t>
  </si>
  <si>
    <t xml:space="preserve">Delta </t>
  </si>
  <si>
    <t>Apaseg</t>
  </si>
  <si>
    <t>Polifer</t>
  </si>
  <si>
    <t>Protect</t>
  </si>
  <si>
    <t>Unid(par)</t>
  </si>
  <si>
    <t>Nivea</t>
  </si>
  <si>
    <t>EPI - Eletricista e Supervisor</t>
  </si>
  <si>
    <t>Bracol</t>
  </si>
  <si>
    <t>Facintos</t>
  </si>
  <si>
    <t>Tecnoluvas</t>
  </si>
  <si>
    <t>Orion</t>
  </si>
  <si>
    <t>Vulcaflex</t>
  </si>
  <si>
    <t>Talge azul</t>
  </si>
  <si>
    <t>Gabi</t>
  </si>
  <si>
    <t>3M AURA</t>
  </si>
  <si>
    <t>Abraçadeira nylon (fita hellermann) 10 cm largura de 2,5 mm</t>
  </si>
  <si>
    <t>Hellermann</t>
  </si>
  <si>
    <t>Cento</t>
  </si>
  <si>
    <t>Abraçadeira nylon (fita hellermann) 15 cm  largura de 3,6  mm</t>
  </si>
  <si>
    <t>Abraçadeira nylon (fita hellermann) 20 cm  largura de 4,8 mm</t>
  </si>
  <si>
    <t>Tigre</t>
  </si>
  <si>
    <t>Irwin</t>
  </si>
  <si>
    <t>broca de aço rápido (furar ferro e madeira) 6 mm</t>
  </si>
  <si>
    <t>broca de aço rápido (furar ferro e madeira) 9 mm</t>
  </si>
  <si>
    <t>broca de aço rápido (furar ferro e madeira) 10 mm</t>
  </si>
  <si>
    <t>broca de aço rápido (furar ferro e madeira) 12 mm</t>
  </si>
  <si>
    <r>
      <t>Bucha fly para drywall n</t>
    </r>
    <r>
      <rPr>
        <vertAlign val="superscript"/>
        <sz val="11"/>
        <color indexed="8"/>
        <rFont val="Calibri"/>
        <family val="2"/>
      </rPr>
      <t>o</t>
    </r>
    <r>
      <rPr>
        <sz val="11"/>
        <color indexed="8"/>
        <rFont val="Calibri"/>
        <family val="2"/>
      </rPr>
      <t xml:space="preserve"> 2  10x35 mm</t>
    </r>
  </si>
  <si>
    <r>
      <t>Bucha fly para drywall n</t>
    </r>
    <r>
      <rPr>
        <vertAlign val="superscript"/>
        <sz val="11"/>
        <color indexed="8"/>
        <rFont val="Calibri"/>
        <family val="2"/>
      </rPr>
      <t>o</t>
    </r>
    <r>
      <rPr>
        <sz val="11"/>
        <color indexed="8"/>
        <rFont val="Calibri"/>
        <family val="2"/>
      </rPr>
      <t xml:space="preserve"> 3 10x40 mm</t>
    </r>
  </si>
  <si>
    <r>
      <t>Bucha fly para drywall n</t>
    </r>
    <r>
      <rPr>
        <vertAlign val="superscript"/>
        <sz val="11"/>
        <color indexed="8"/>
        <rFont val="Calibri"/>
        <family val="2"/>
      </rPr>
      <t>o</t>
    </r>
    <r>
      <rPr>
        <sz val="11"/>
        <color indexed="8"/>
        <rFont val="Calibri"/>
        <family val="2"/>
      </rPr>
      <t xml:space="preserve"> 4  10x50 mm</t>
    </r>
  </si>
  <si>
    <t>Detergente  desincrustante de limpeza em geral, tipo Metasil ou similar</t>
  </si>
  <si>
    <t>Metasil</t>
  </si>
  <si>
    <t>galao 5l</t>
  </si>
  <si>
    <t>Telstar</t>
  </si>
  <si>
    <t>DISCO DE DESBASTE PARA METAL FERROSO EM GERAL, (115mm x 5 mm x 22,2mm)</t>
  </si>
  <si>
    <t>Magma</t>
  </si>
  <si>
    <t>Fita crepe 25 mm x 50 m</t>
  </si>
  <si>
    <t>Adelbras</t>
  </si>
  <si>
    <t>LÂMINA DE ESTILETE 18 MM</t>
  </si>
  <si>
    <t>STARRETT</t>
  </si>
  <si>
    <t>LÂMINA DE SERRA RIGIDA 12" 24 DENTES</t>
  </si>
  <si>
    <t>Lata de aguarras com 900 ml</t>
  </si>
  <si>
    <t>Prego de aço com cabeça 10 x 10</t>
  </si>
  <si>
    <t>Prego sem cabeça 12 x 12</t>
  </si>
  <si>
    <t>Recarga para maçarico alta temperatura turbo tocha</t>
  </si>
  <si>
    <t xml:space="preserve">Suporte para rolo de pintura 23cm azul </t>
  </si>
  <si>
    <t>Spray silicone, lubrifiante (300ml)</t>
  </si>
  <si>
    <t xml:space="preserve">Spray Limpa-contato; </t>
  </si>
  <si>
    <t>Referência de marca</t>
  </si>
  <si>
    <t>Valor para 30 meses</t>
  </si>
  <si>
    <t xml:space="preserve">MODULO DE ANDAIME TUBULAR 1 X 1 M </t>
  </si>
  <si>
    <t>UNIDADE</t>
  </si>
  <si>
    <t xml:space="preserve"> </t>
  </si>
  <si>
    <t xml:space="preserve">MODULO DE ANDAIME TUBULAR 1 X 1,5 M </t>
  </si>
  <si>
    <t>TRAVA DE SEGURANÇA DIAGONAL 1,5 M (PARA ANDAIME DE 1 M)</t>
  </si>
  <si>
    <t>TRAVA DE SEGURANÇA DIAGONAL 2M (PARA ANDAIME DE 1,5 M)</t>
  </si>
  <si>
    <t>SAPATA FIXA 11 X 12 PARA ANDAIME</t>
  </si>
  <si>
    <t>PISO METALICO PARA ANDAIME DE 1 M</t>
  </si>
  <si>
    <t>PISO METALICO PARA ANDAIME DE 1,5 M</t>
  </si>
  <si>
    <t>SAPATA AJUSTAVEL PARA ANDAIME</t>
  </si>
  <si>
    <t>ESCADA PARA ANDAIME 1 M</t>
  </si>
  <si>
    <t>RODIZIO GIRATÓRIO PARA ANDAIME COM RODA DE POLIURETANO 6 POL.</t>
  </si>
  <si>
    <t>CONJ. GUARDA CORPO PARA ANDAIME DE 1 M</t>
  </si>
  <si>
    <t>CONJ. GUARDA CORPO PARA ANDAIME DE 1,5 M</t>
  </si>
  <si>
    <t>Alicate para Crimpagem Para Terminal Faston Sem Isolação</t>
  </si>
  <si>
    <t>Alicate para Crimpagem Para Terminal pré-isolado até 6mm</t>
  </si>
  <si>
    <t>Vonder</t>
  </si>
  <si>
    <t>CORDA 12MM COM CARGA DE RUPTURA DE 20 KN</t>
  </si>
  <si>
    <t>Rolo 100m</t>
  </si>
  <si>
    <t>CADEIRA SUSPENSA SOBE E DESCE Mínimo de 120 kg</t>
  </si>
  <si>
    <t>TRAVA QUEDAS PARA CADEIRA SUSPENSA</t>
  </si>
  <si>
    <t>Delta Plus</t>
  </si>
  <si>
    <t>AFASTADOR DE PAREDE PARA CADEIRA SUSPENSA</t>
  </si>
  <si>
    <t>CABO DE AÇO 1/4" 6x19AF</t>
  </si>
  <si>
    <t>Corneta</t>
  </si>
  <si>
    <t>Belzer</t>
  </si>
  <si>
    <t>ALICATE ELETRICISTA DESCASCADORA DE FIOS AUTO-AJUSTAVEL 8"</t>
  </si>
  <si>
    <t>IRWIN</t>
  </si>
  <si>
    <t>ALICATE DE PRESSÃO, MATERIAL FERRO, TRATAMENTO SUPERFICIAL AÇO VANÁDIO, MORDENTE INFERIOR CURVO, AJUSTE UMA POSIÇÃO, ABERTURA DA BOCA 6.</t>
  </si>
  <si>
    <t>Alicate para Eletricista profissional 8" antideslizante</t>
  </si>
  <si>
    <t>Starret</t>
  </si>
  <si>
    <t>Broxa redonda - Material Base: Plástico, Material Cabo: Plástico, Material Cerdas: Nylon, Formato: Redondo, Aplicação: Pintura E Caiação, Bitola: 75 MM, Comprimento: 25 CM</t>
  </si>
  <si>
    <t>CARRINHO PLATAFORMA COM ASSOALHO DE CHAPA 400 KG COM ABA FRONTAL FIXA - (Pneu com camara)</t>
  </si>
  <si>
    <t>Marcon</t>
  </si>
  <si>
    <t>Tramontina</t>
  </si>
  <si>
    <t>CAVADEIRA ARTICULADA, CAVADEIRA ARTICULADA, MATERIAL AÇO CARBONO, PINTURA ELETROSTÁTICA A PÓ, CABO DE MADEIRA, DIMENSÕES DO CABO 120 CM</t>
  </si>
  <si>
    <t>Gedore</t>
  </si>
  <si>
    <t xml:space="preserve">CHAVE DE FENDA SIMPLES 3/8 X 8" </t>
  </si>
  <si>
    <t>Moretzsohn</t>
  </si>
  <si>
    <t>CHAVE GRIFO TIPO CORRENTE PARA TUBO ATÉ 6"</t>
  </si>
  <si>
    <t>Detector de Sequência de Fase</t>
  </si>
  <si>
    <t>Minipa</t>
  </si>
  <si>
    <t>Pacetta</t>
  </si>
  <si>
    <t>CONJUNTO CHAVES COMBINADAS, MATERIAL AÇO, TAMANHO 1/4" à  1.1/4", TIPO BOCA + ESTRELA (16 peças)</t>
  </si>
  <si>
    <t>CORRENTE PLÁSTICA, AMARELA E PRETA PARA ISOLAMENTO DE ÁREA</t>
  </si>
  <si>
    <t>CORTA-VERGALHÃO, TIPO TESOURA, MATERIAL AÇO CROMADO MOLIBDÊNIO, MATERIAL CABO PVC - CLORETO DE POLIVINILA, COMPRIMENTO 30", CARACTERÍSTICAS ADICIONAIS LÂMINAS AÇO TEMPERADO/CAPACIADA CORTE 3/8 POL</t>
  </si>
  <si>
    <t>DESEMPENADEIRA DE AÇO MANUAL, MATERIAL AÇO, COMPRIMENTO 26, LARGURA 12, APLICAÇÃO ARGAMASSA, CARACTERÍSTICAS ADICIONAIS COM DENTES</t>
  </si>
  <si>
    <t>Cortag</t>
  </si>
  <si>
    <t>Noviça</t>
  </si>
  <si>
    <t xml:space="preserve">Enxada largura aproximada de 21 cm - cabo de madeira - Comprimento 130 cm </t>
  </si>
  <si>
    <t>ESCADA FIBRA DE VIDRO MATERIAL ALUMÍNIO, NÚMERO DEGRAUS 6, TIPO TESOURA, DUPLO ACESSO, PÉS ANTIDERRAPANTES</t>
  </si>
  <si>
    <t>ESCADA EXTENSÍVEL, MATERIAL ALUMÍNIO, CAPACIDADE ATÉ 120, TIPO SAPATA LARGA E DE BORRACHA, TIPO DEGRAUS (2 X 7) ACOPLADOS LADO A LADO, QUANTIDADE DEGRAUS 07, ALTURA FECHADA 2,40m, ALTURA ABERTA 2,2x3,8m</t>
  </si>
  <si>
    <t>ESPÁTULA, MATERIAL LÂMINA METAL, MATERIAL CABO PLASTICO TAMANHO 12, APLICAÇÃO MASSA E RASPAGEM</t>
  </si>
  <si>
    <t>ESPÁTULA, MATERIAL LÂMINA METAL, MATERIAL CABO PLASTICO TAMANHO 4, APLICAÇÃO MASSA E RASPAGEM</t>
  </si>
  <si>
    <t>ESPÁTULA PLASTICA DENTADA DE 8 CM</t>
  </si>
  <si>
    <t>Ramada</t>
  </si>
  <si>
    <t>Starret-Exact</t>
  </si>
  <si>
    <t>Extensão de cabo PP 2x2,5mm2 com mínimo de 5m;</t>
  </si>
  <si>
    <t>Extensão de cabo PP 2x2,5mm2 com mínimo de 30m;</t>
  </si>
  <si>
    <t>HASTE PARA SUPORTE DE CORRENTE (Pedestal)</t>
  </si>
  <si>
    <t>JOGO CHAVE, MATERIAL AÇO CROMO VANÁDIO, TIPO HEXAGONAL, QUANTIDADE PEÇAS 9, APLICAÇÃO MANUTENÇÃO EQUIPAMENTO MECÂNICO, COMPONENTES CHAVES MEDIDAS 1,5 a 10MM, CARACTERÍSTICAS ADICIONAIS  MODELO ´L´, TAMANHO  CURTO,  ACABAMENTO SUPERFICIAL FOSFATIZADO</t>
  </si>
  <si>
    <t>JOGO CHAVES FENDA ISOLADA, MATERIAL HASTE METAL, MATERIAL CABO PLÁSTICO RESISTENTE, TIPO CABO ISOLADO, QUANTIDADE PEÇAS 6 UM</t>
  </si>
  <si>
    <t>Chave fenda cruzada (Philips) 3/16" x 1.1/2" (Cotoco)</t>
  </si>
  <si>
    <t>JOGO DE CHAVE DE BOCA FIXA. FORJADA EM AÇO CROMO VANÁDIO E TEMPERADA. CABEÇA USINADA. ABERTURA DA BOCA CALIBRADA.  TAMANHOS 6mm a 32mm - 12 peças NORMA DE REFERENCIA DIN 3110</t>
  </si>
  <si>
    <t>LÂMINA PARA ESTILETE RETRÁTIL SIMPLES 18MM COM 10 PEÇAS</t>
  </si>
  <si>
    <t xml:space="preserve"> STANLEY</t>
  </si>
  <si>
    <t>LANTERNA DE 15-20 CM C/ LENTE ACIONADA POR PILHA AA OU AAA</t>
  </si>
  <si>
    <t>vonder</t>
  </si>
  <si>
    <t>MAÇARICO ALTA TEMPERATURA TURBO TOCHA COM ACENDIMENTO AUTOMÁTICO, GÁS MAPP</t>
  </si>
  <si>
    <t>Worker</t>
  </si>
  <si>
    <t>PÁ DE BICO COM CABO 71 cm COM ALÇA</t>
  </si>
  <si>
    <t xml:space="preserve">Pé de Cabra  3/4"x70Cm </t>
  </si>
  <si>
    <t>Picareta cabo de madeira 90 cm</t>
  </si>
  <si>
    <t>Stanley</t>
  </si>
  <si>
    <t>PONTEIRO, MATERIAL AÇO, COMPRIMENTO 14", DIÂMETRO 3/4, APLICAÇÃO SERVIÇOS GERAIS</t>
  </si>
  <si>
    <t>Monfort</t>
  </si>
  <si>
    <t>Atlas</t>
  </si>
  <si>
    <t>worker</t>
  </si>
  <si>
    <t>SERRA COPO DIAMANTADA COM HASTE, DIÂMENTRO DE 110MM</t>
  </si>
  <si>
    <t>Starrett</t>
  </si>
  <si>
    <t>SERRA COPO DIAMANTADA COM HASTE, DIÂMENTRO DE 50MM</t>
  </si>
  <si>
    <t>SERRA COPO DIAMANTADA COM HASTE, DIÂMENTRO DE 40MM</t>
  </si>
  <si>
    <t>SERRA COPO DIAMANTADA COM HASTE, DIÂMENTRO DE 30MM</t>
  </si>
  <si>
    <t>SERRA COPO DIAMANTADA COM HASTE, DIÂMENTRO DE 20MM</t>
  </si>
  <si>
    <t>SERRA COPO PARA CORTE AÇO E METAL 102MM</t>
  </si>
  <si>
    <t>SERRA COPO PARA CORTE AÇO E METAL 86 MM</t>
  </si>
  <si>
    <t>SERRA COPO PARA CORTE AÇO E METAL 59 MM</t>
  </si>
  <si>
    <t>SERRA COPO PARA CORTE AÇO E METAL 48 MM</t>
  </si>
  <si>
    <t>SERRA COPO PARA CORTE AÇO E METAL 40 MM</t>
  </si>
  <si>
    <t>SERRA COPO PARA CORTE AÇO E METAL 22 MM</t>
  </si>
  <si>
    <t>SERRA COPO PARA CORTE AÇO E METAL 19 MM</t>
  </si>
  <si>
    <t>SERRA COPO PARA CORTE AÇO E METAL 14 MM</t>
  </si>
  <si>
    <t>SUPORTE DE FIXAÇÃO PARA SERRA COPO DE 14-30MM MANDRIL 9,5MM</t>
  </si>
  <si>
    <t>SERROTE PROFISSIONAL, MATERIAL LÂMINA AÇO ALTO CARBONO, TRATAMENTO SUPERFICIAL TEMPERADO E LIXADO, TIPO TRAVADO, QUANTIDADE DENTES 7 POR POLEGADA, MATERIAL CABO MADEIRA, TAMANHO 24</t>
  </si>
  <si>
    <t>TRENA A LASER 40 METROS</t>
  </si>
  <si>
    <t>Bosch</t>
  </si>
  <si>
    <t>TRENA, MATERIAL AÇO, LARGURA LÂMINA 19, COMPRIMENTO 5, CARACTERÍSTICAS ADICIONAIS ENROLAMENTO AUTOMÁTICO COM TRAVA</t>
  </si>
  <si>
    <t>Talabarte De Salvamento E Seguranca em "y" com 2 (dois) mosquetões e absorvedor de energia.</t>
  </si>
  <si>
    <t>Serra de Mesa 10 Pol. 1800W</t>
  </si>
  <si>
    <t xml:space="preserve">ALICATE DE CORTE DIAGONAL 6 " COM ISOLAMENTO             </t>
  </si>
  <si>
    <t>MINIPA</t>
  </si>
  <si>
    <t>Martelete Perfurador Rompedor SDS  800w, 220v</t>
  </si>
  <si>
    <t>MAKITA HR2470</t>
  </si>
  <si>
    <t>Furadeira, tipo impacto, potência 1300 W, tamanho mandril 5/8, tensão alimentação 220, características adicionais minimo de 2 velocidades</t>
  </si>
  <si>
    <t xml:space="preserve">DeWalt D21570K </t>
  </si>
  <si>
    <t xml:space="preserve">MAKITA SA7000C </t>
  </si>
  <si>
    <t>STANLEY</t>
  </si>
  <si>
    <t>Pistola aplicadora de cola quente, tensão alimentação 110/220, potência 250, tipo profissional, compatível com bastão silicone</t>
  </si>
  <si>
    <t>HIKARI HPC280</t>
  </si>
  <si>
    <t>Plaina elétrica potência 400/710 w, largura corte 82, profundidade corte +/- 1 mm, rotação 16.500, voltagem 110/220, acessórios conjunto afiador e calibrador, aplicação plainar madeira, características adicionais punho formato d</t>
  </si>
  <si>
    <t xml:space="preserve">Bosch GHO 700 </t>
  </si>
  <si>
    <t>Serra mármore, potência 1.450, diâmetro disco 110, diâmetro furo disco 20, voltagem 127, características adicionais alto torque, rolamento vedado contra pó</t>
  </si>
  <si>
    <t xml:space="preserve">MAKITA 4100NH2 </t>
  </si>
  <si>
    <t>Serra tico-tico manual, gpm 500-3.100, tensão 220/230,  potência 650W, capacidade corte madeira 90, capacidade corte alumínio 20, capacidade corte aço 10</t>
  </si>
  <si>
    <t xml:space="preserve">MAKITA jv600K </t>
  </si>
  <si>
    <t>Parafusadeira, RPM 650-2.600, Bateria 40V, 2,5Ah com bateria e carregador.</t>
  </si>
  <si>
    <t xml:space="preserve">MAKITA DF001GD201 </t>
  </si>
  <si>
    <t>Parafusadeira com fio 110/220</t>
  </si>
  <si>
    <t xml:space="preserve">Bosch  GSR 7-14 E </t>
  </si>
  <si>
    <t>Ferro de solda 50W</t>
  </si>
  <si>
    <t>HIKARI Plus Sc-60</t>
  </si>
  <si>
    <t>Bancada de trabalho dobrável e portátil  80x60cm com morsa adaptada</t>
  </si>
  <si>
    <t>SPARTA</t>
  </si>
  <si>
    <t>UNI-T</t>
  </si>
  <si>
    <t>Chave Corrente Aço Especial Para Tubos. Corrente em aço especial, corpo de ferro fundido, pintura eletrostática, mordente forjado em aço cromo vanádio, tamanho de 18”, capacidade de 60 à 125 mm,</t>
  </si>
  <si>
    <t>GEDORE</t>
  </si>
  <si>
    <r>
      <t xml:space="preserve">Inversor de Solda MMA 100A para </t>
    </r>
    <r>
      <rPr>
        <sz val="10"/>
        <color indexed="8"/>
        <rFont val="Arial"/>
        <family val="2"/>
      </rPr>
      <t>soldagem em aço inoxidável, aço, aço carbono, entre outros metais ferrosos. Tensão de Entrada: 220V, Frequencia: 60Hz, Potência Nominal de Entrada: 4.8KVA, Máxima Corrente de Entrada: 22A, Máxima Corrente de Saída Nominal: 100A/24V, Faixa de Corrente: 10~100A, Tensão no Vazio: 57V , Ciclo de Trabalho Nominal: 20%, Eficiência: 85%, Fator de Potência: 0.7, Classe de Proteção: IP21S, Classe de Isolamento: F, Peso: +/- 3 Kg. Acompanha:  01 Porta Eletrodo -  01 Garra Negativa - 01 Escova Cerda de Aço</t>
    </r>
  </si>
  <si>
    <t>BAMBOZZI</t>
  </si>
  <si>
    <t>Compressor 100 litros, 10 Pés, 2 HP, 2 pistões em V, Pressão de operação máxima: 140lbf/pol²</t>
  </si>
  <si>
    <t>SCHULZ-PROCSV10/100</t>
  </si>
  <si>
    <t>Pistola de Pintura tipo Gravidade 2,5mm 850ml</t>
  </si>
  <si>
    <t>ARPREX-MOD12-E</t>
  </si>
  <si>
    <t>Mangueira pneumatica com 10m para compressor</t>
  </si>
  <si>
    <t>Bico de Limpeza Corpo Nylon com gatilho para compressor ref. Arprex Omega 8</t>
  </si>
  <si>
    <t>Arprex Omega 8</t>
  </si>
  <si>
    <t>Marcas de referência</t>
  </si>
  <si>
    <t>SINAPI</t>
  </si>
  <si>
    <t>Elgin, Ourolux, Phillips, Blumenau</t>
  </si>
  <si>
    <t>Osram, Kian, Stella</t>
  </si>
  <si>
    <t>Pilha alcalina de alta durabilidade, tamanho média, modelo C, cartela c/ 02 unidades</t>
  </si>
  <si>
    <t>Foxlux, Elgin, Duracell</t>
  </si>
  <si>
    <t>Pilha alcalina modelo mini, cartela c/ 02 unidades</t>
  </si>
  <si>
    <t>Duracell, Elgin</t>
  </si>
  <si>
    <t>Pilha alcalina de alta durabilidade, tamanho pequena, modelo AA, cartela c/ 02 unidades</t>
  </si>
  <si>
    <t>Pilha alcalina de alta durabilidade, tamanho palito, modelo AAA, cartela c/ 02 unidades</t>
  </si>
  <si>
    <t>Megatron, Coopersalto</t>
  </si>
  <si>
    <t>MPT</t>
  </si>
  <si>
    <t>rolo (500m)</t>
  </si>
  <si>
    <t>Intelbras</t>
  </si>
  <si>
    <t>Ourolux, Black Decker</t>
  </si>
  <si>
    <t>Ourolux, Galaxy LED</t>
  </si>
  <si>
    <t>Canaleta 50x20mm, barra 2 metros</t>
  </si>
  <si>
    <t>Pial Legrand, Enerbras</t>
  </si>
  <si>
    <t>Pial Legrand, Tramontina, Ilumi</t>
  </si>
  <si>
    <t>-</t>
  </si>
  <si>
    <t>Sil, Cobrecom</t>
  </si>
  <si>
    <t>rolo (100m)</t>
  </si>
  <si>
    <t>Sil</t>
  </si>
  <si>
    <t>Kit-Flex, Lorenzetti</t>
  </si>
  <si>
    <t>PialPlus</t>
  </si>
  <si>
    <t>Margirius, Transmobil, Steck</t>
  </si>
  <si>
    <t>Elgin, Intelbras</t>
  </si>
  <si>
    <t>Lucchi, Decorlux</t>
  </si>
  <si>
    <t>Forusi, Hidrofix</t>
  </si>
  <si>
    <t>Forusi</t>
  </si>
  <si>
    <t>Forusi, Tigre, Stocmatic</t>
  </si>
  <si>
    <t>Blukit, Astra, Censi</t>
  </si>
  <si>
    <t>Astra, Incepa, Tupan</t>
  </si>
  <si>
    <t>Coral, Suvinil</t>
  </si>
  <si>
    <t>Suvinil, Sparlack</t>
  </si>
  <si>
    <t>Multiperfil</t>
  </si>
  <si>
    <t>Knauf, Gypsum, Placo</t>
  </si>
  <si>
    <t>Placa de forro de fibra mineral, cor branca, com alta absorção de ruído com medidas de 625x1250x16mm, com Fator de Propagação de Chamas de 25 ou inferior(rotulado por UL), similar ao modelo "Scala textura média cód.: 3046D" da marca Armstrong Ceilings.</t>
  </si>
  <si>
    <t>Scala Lay-in</t>
  </si>
  <si>
    <t>caixa (8 placas)</t>
  </si>
  <si>
    <t>Adubo orgânico humus de minhoca</t>
  </si>
  <si>
    <t>Terra Nova, Helliantus, VerdeForte</t>
  </si>
  <si>
    <t>embalagem c/ 5kg</t>
  </si>
  <si>
    <t>Pedrisco (granilha) branco para vasos e jardins, tamanho nº 01</t>
  </si>
  <si>
    <t>Pedra Nobre</t>
  </si>
  <si>
    <t>embalagem c/ 1kg</t>
  </si>
  <si>
    <t>Casca de Pinus</t>
  </si>
  <si>
    <t>Seixos Pedra Norte, All Garden</t>
  </si>
  <si>
    <t>embalagem c/ 7kg</t>
  </si>
  <si>
    <t>Seixo rolado médio marrom</t>
  </si>
  <si>
    <t>embalagem c/ 30kg</t>
  </si>
  <si>
    <t>Cascola</t>
  </si>
  <si>
    <t>Master Fechaduras</t>
  </si>
  <si>
    <t>Dispenser de copos de chá (110ml), Dispenser para copo plástico, material plástico abs, acrílico, capacidade copo: 110 ml. Capacidade: 70 a 125 copos. Características adicionais: com base de fixação em polipropileno, acompanhando buchas e parafusos para fixação.</t>
  </si>
  <si>
    <t>JJ Comércio, JSN</t>
  </si>
  <si>
    <t>Goedert, JSN, Multicopo</t>
  </si>
  <si>
    <t>RCAONLINE IMPERIUM</t>
  </si>
  <si>
    <t>Megatron, Sohoplus</t>
  </si>
  <si>
    <t>Fortlev, Amanco</t>
  </si>
  <si>
    <t>Oceanoti, Legrand</t>
  </si>
  <si>
    <t>Tramontina, PialPlus</t>
  </si>
  <si>
    <t>DualLux, Mavel</t>
  </si>
  <si>
    <t>Organizador de cabos em espiral composto de polipropileno resistente à chama 1/2" cor preta. Diametro externo de aprox. 12 mm e interno de aprox. 8,4 mm. Rolo de 2 metros</t>
  </si>
  <si>
    <t>Frontec, Vonder</t>
  </si>
  <si>
    <t>unidade (2 metros)</t>
  </si>
  <si>
    <t>Tramontina, Ilumi, Fame</t>
  </si>
  <si>
    <t>Lorenzetti</t>
  </si>
  <si>
    <t>Transmobil</t>
  </si>
  <si>
    <t>Pial Legrand</t>
  </si>
  <si>
    <t>Transmobil, Tramontina</t>
  </si>
  <si>
    <t>IBBL</t>
  </si>
  <si>
    <t>IBBL, BLUKIT</t>
  </si>
  <si>
    <t>Niple adaptador para purificador de água IBBL 600</t>
  </si>
  <si>
    <t>Areia média lavada</t>
  </si>
  <si>
    <t>AB Areias, Grupo Tomino</t>
  </si>
  <si>
    <t>embalagem c/ 20kg</t>
  </si>
  <si>
    <t>Cimento Portlando CP-II</t>
  </si>
  <si>
    <t>Votorantin</t>
  </si>
  <si>
    <t>embalagem c/ 25kg</t>
  </si>
  <si>
    <t>Gesso em pó para revestimento</t>
  </si>
  <si>
    <t>Argos, Rejuntamix</t>
  </si>
  <si>
    <t>Reservatório cuba plástica para purificador de água IBBL FR600</t>
  </si>
  <si>
    <t>Fita adesiva de alumínio 48mm X 30m</t>
  </si>
  <si>
    <t>Adelbras, Techtape, Vonder</t>
  </si>
  <si>
    <t>Mangueira de silicone atóxica 1/4" para purificador IBBL FR600</t>
  </si>
  <si>
    <t>Engate flexível para ducha higiênica, cromada, 1,20m.</t>
  </si>
  <si>
    <t>Rodex, Bognar</t>
  </si>
  <si>
    <t>Assento sanitário "Monte Carlo" em polipropileno, cor branco gelo</t>
  </si>
  <si>
    <t>Deca, Astra, Tupan</t>
  </si>
  <si>
    <t>Grama são carlos</t>
  </si>
  <si>
    <t>Forceline, Amanco, Tigre</t>
  </si>
  <si>
    <t>Perfil Lider</t>
  </si>
  <si>
    <t>barra (3 metros)</t>
  </si>
  <si>
    <t>Seixo rolado médio branco</t>
  </si>
  <si>
    <t>Terminal elétrico tipo pino, 2,5mm (pacote com 100 unidades)</t>
  </si>
  <si>
    <t>Eletrokit</t>
  </si>
  <si>
    <t>Argila expandida</t>
  </si>
  <si>
    <t>Cinexpan, Cinasita</t>
  </si>
  <si>
    <t>embalagem c/ 50 litros</t>
  </si>
  <si>
    <t>Manta asfáltica autoadesiva aluminizada 45cmx10m</t>
  </si>
  <si>
    <t>Vedacit</t>
  </si>
  <si>
    <t>Manta líquida impermeabilizante à base de asfalto</t>
  </si>
  <si>
    <t>Vedacit, Vonder</t>
  </si>
  <si>
    <t>Balde 18l</t>
  </si>
  <si>
    <t>Pinos suporte plástico 6mm para prateleiras e armários</t>
  </si>
  <si>
    <t>embalagem c/ 100 peças</t>
  </si>
  <si>
    <t>Plugue tampão roscável PVC 3/4"</t>
  </si>
  <si>
    <t>Tigre, Fortlev</t>
  </si>
  <si>
    <t>ABB, Siemens, Steck, WEG</t>
  </si>
  <si>
    <t>Siemens, Steck, WEG</t>
  </si>
  <si>
    <t>Terminal elétrico tipo fêmea 6,3mm universal (pacote com 100 unidades)</t>
  </si>
  <si>
    <t>Plugue tampão roscável PVC 1/2"</t>
  </si>
  <si>
    <t xml:space="preserve">Tinta asfáltica impermeabilizante, para alvenaria, concreto, metais e madeiras </t>
  </si>
  <si>
    <t>galão de 3,6l</t>
  </si>
  <si>
    <t>Brita nº 01</t>
  </si>
  <si>
    <t>Pedrasil, Grupo Tomino</t>
  </si>
  <si>
    <t>Cal hidratada CH-III branco</t>
  </si>
  <si>
    <t>Votorantim</t>
  </si>
  <si>
    <t>Selante PU cinza, para pistola aplicadora</t>
  </si>
  <si>
    <t>Bisnaga 400g</t>
  </si>
  <si>
    <t>EOS</t>
  </si>
  <si>
    <t>unidade (13,60kg)</t>
  </si>
  <si>
    <t>unidade (11,30kg)</t>
  </si>
  <si>
    <t>Fita adesiva dupla face, fixação forte, 19mm X 20m</t>
  </si>
  <si>
    <t>3M</t>
  </si>
  <si>
    <t>Terminal elétrico tipo olhal, 2,5mm (pacote com 100 unidades)</t>
  </si>
  <si>
    <t>Intelli, Eletrokit</t>
  </si>
  <si>
    <t>Polipex</t>
  </si>
  <si>
    <t>barra 2 metros</t>
  </si>
  <si>
    <t>Plastsil, Medicone</t>
  </si>
  <si>
    <t>Eluma</t>
  </si>
  <si>
    <t>peça 15 metros</t>
  </si>
  <si>
    <t>Ciser</t>
  </si>
  <si>
    <t>Barra roscada 5/8";</t>
  </si>
  <si>
    <t>kit 4 unidades</t>
  </si>
  <si>
    <t>Silicone acético transparente, para pistola aplicadora</t>
  </si>
  <si>
    <t>Tekbond</t>
  </si>
  <si>
    <t>Bisnaga 280g</t>
  </si>
  <si>
    <t>Verniz spray automotivo incolor;</t>
  </si>
  <si>
    <t>Colorgin</t>
  </si>
  <si>
    <t>Verniz marítimo tripla proteção incolor;</t>
  </si>
  <si>
    <t>Suvinil</t>
  </si>
  <si>
    <t>3,6L</t>
  </si>
  <si>
    <t>Zarcão</t>
  </si>
  <si>
    <t>Suvinil, Coral</t>
  </si>
  <si>
    <t>galão (3,6l)</t>
  </si>
  <si>
    <t xml:space="preserve">Detergente desincrustante para limpeza de serpentina; </t>
  </si>
  <si>
    <t>Solução Limpeza Multiuso com efeito fungicida e bactericida</t>
  </si>
  <si>
    <t>West Garden, Geolia, Vitaplan</t>
  </si>
  <si>
    <t>Terminal elétrico tipo forquilha, 2,5mm (pacote com 100 unidades)</t>
  </si>
  <si>
    <t>Lâmpada fluorescente tubular T5, cor 6500K, 14W</t>
  </si>
  <si>
    <t>Phillips, Osram</t>
  </si>
  <si>
    <t>Lâmpada LED bulbo E27, cor 6500K, 9W, bivolt</t>
  </si>
  <si>
    <t>Phillips</t>
  </si>
  <si>
    <t>Bloco cerâmico vedação, 11,5cm X 14cm X 24cm</t>
  </si>
  <si>
    <t>Aditivo plastificante para argamassas</t>
  </si>
  <si>
    <t>Quartzolit, Vedacit</t>
  </si>
  <si>
    <t>Sachê de 100ml</t>
  </si>
  <si>
    <t>Grelha redonda para ralo 15cm de diâmetro, cromada</t>
  </si>
  <si>
    <t>Fluido refrigerante Diclofluoretano R141B</t>
  </si>
  <si>
    <t>DuGold</t>
  </si>
  <si>
    <t>13,6kg</t>
  </si>
  <si>
    <t>Selante acrílico para trincas</t>
  </si>
  <si>
    <t>Vedacit, Quartzolit</t>
  </si>
  <si>
    <t>bisnaga 550g</t>
  </si>
  <si>
    <t>Torneira jardim esfera cromada de metal tipo esfera 1/2 pol</t>
  </si>
  <si>
    <t>Massa f12 imbuia</t>
  </si>
  <si>
    <t>Viapol</t>
  </si>
  <si>
    <t>Lata de 400g</t>
  </si>
  <si>
    <t>Fundo para galvanizados</t>
  </si>
  <si>
    <t>massa f12 branca</t>
  </si>
  <si>
    <t>Anticorrosivo TF7</t>
  </si>
  <si>
    <t>TF7</t>
  </si>
  <si>
    <t>Tinta epoxi vermelha, com catalisador</t>
  </si>
  <si>
    <t>Tinta epoxi amarela, com catalisador</t>
  </si>
  <si>
    <t>Massa plástica cinza</t>
  </si>
  <si>
    <t>Iberê</t>
  </si>
  <si>
    <t>Descrição</t>
  </si>
  <si>
    <t>Qtde 30 meses</t>
  </si>
  <si>
    <r>
      <t xml:space="preserve">Manutenção preventiva mensal em aparelhos de ar condicionado do tipo Split (Hiwall, Piso teto e Cassete), com potência de 7000 a 12.000 BTUs, </t>
    </r>
    <r>
      <rPr>
        <sz val="9"/>
        <color indexed="8"/>
        <rFont val="Calibri"/>
        <family val="2"/>
      </rPr>
      <t xml:space="preserve"> incluindo fornecimento de peças básicas, troca de filtro, mão de obra e ferramentas</t>
    </r>
  </si>
  <si>
    <t>Serviço</t>
  </si>
  <si>
    <r>
      <t xml:space="preserve">Manutenção preventiva mensal em aparelhos de ar condicionado do tipo Split (Hiwall, Piso teto e Cassete), com potência de 13.000 a 35.000 BTUs, </t>
    </r>
    <r>
      <rPr>
        <sz val="9"/>
        <color indexed="8"/>
        <rFont val="Calibri"/>
        <family val="2"/>
      </rPr>
      <t xml:space="preserve"> incluindo fornecimento de peças básicas, troca de filtro, mão de obra e ferramentas</t>
    </r>
  </si>
  <si>
    <r>
      <t xml:space="preserve">Manutenção preventiva mensal em aparelhos de ar condicionado do tipo Split (Hiwall, Piso teto e Cassete), com potência de 36.000 a 60.000 BTUs, </t>
    </r>
    <r>
      <rPr>
        <sz val="9"/>
        <color indexed="8"/>
        <rFont val="Calibri"/>
        <family val="2"/>
      </rPr>
      <t xml:space="preserve"> incluindo fornecimento de peças básicas, troca de filtro, mão de obra e ferramentas</t>
    </r>
  </si>
  <si>
    <r>
      <t xml:space="preserve">Manutenção corretiva em aparelhos de ar condicionado do tipo Split (Hiwall, Piso teto e Cassete), com potência de 7000 a 12.000 BTUs, </t>
    </r>
    <r>
      <rPr>
        <sz val="9"/>
        <color indexed="8"/>
        <rFont val="Calibri"/>
        <family val="2"/>
      </rPr>
      <t xml:space="preserve"> incluindo mão de obra e ferramentas. O fornecimento de peças será sob demanda, com pagamento a parte.</t>
    </r>
  </si>
  <si>
    <r>
      <t xml:space="preserve">Manutenção corretiva em aparelhos de ar condicionado do tipo Split (Hiwall, Piso teto e Cassete), com potência de 13.000 a 35.000 BTUs, </t>
    </r>
    <r>
      <rPr>
        <sz val="9"/>
        <color indexed="8"/>
        <rFont val="Calibri"/>
        <family val="2"/>
      </rPr>
      <t xml:space="preserve"> incluindo mão de obra e ferramentas. O fornecimento de peças será sob demanda, com pagamento a parte.</t>
    </r>
  </si>
  <si>
    <r>
      <t xml:space="preserve">Manutenção corretiva em aparelhos de ar condicionado do tipo Split (Hiwall, Piso teto e Cassete), com potência de 36.000 a 60.000 BTUs, </t>
    </r>
    <r>
      <rPr>
        <sz val="9"/>
        <color indexed="8"/>
        <rFont val="Calibri"/>
        <family val="2"/>
      </rPr>
      <t xml:space="preserve"> incluindo mão de obra e ferramentas. O fornecimento de peças será sob demanda, com pagamento a parte.</t>
    </r>
  </si>
  <si>
    <r>
      <t xml:space="preserve">Instalação de ar condicionado tipo Split (Hiwall, Piso Teto e Cassete), com potência entre 7000 e 12.000 BTUs, </t>
    </r>
    <r>
      <rPr>
        <sz val="9"/>
        <color indexed="8"/>
        <rFont val="Calibri"/>
        <family val="2"/>
      </rPr>
      <t>incluindo todo o material, ferramentas e mão de obra.</t>
    </r>
  </si>
  <si>
    <r>
      <t xml:space="preserve">Instalação de ar condicionado tipo Split (Hiwall, Piso Teto e Cassete), com potência entre 13.000 e 35.000 BTUs, </t>
    </r>
    <r>
      <rPr>
        <sz val="9"/>
        <color indexed="8"/>
        <rFont val="Calibri"/>
        <family val="2"/>
      </rPr>
      <t>incluindo todo o material, ferramentas e mão de obra.</t>
    </r>
  </si>
  <si>
    <r>
      <t xml:space="preserve">Instalação de ar condicionado tipo Split (Hiwall, Piso Teto e Cassete), com potência entre 36.000 e 60.000 BTUs, </t>
    </r>
    <r>
      <rPr>
        <sz val="9"/>
        <color indexed="8"/>
        <rFont val="Calibri"/>
        <family val="2"/>
      </rPr>
      <t>incluindo todo o material, ferramentas e mão de obra.</t>
    </r>
  </si>
  <si>
    <r>
      <t xml:space="preserve">Desinstalação de ar condicionado tipo Split (Hiwall, Piso Teto e Cassete), com potência entre 7000 e 12.000 BTUs, </t>
    </r>
    <r>
      <rPr>
        <sz val="9"/>
        <color indexed="8"/>
        <rFont val="Calibri"/>
        <family val="2"/>
      </rPr>
      <t>incluindo todo o material, ferramentas e mão de obra.</t>
    </r>
  </si>
  <si>
    <r>
      <t xml:space="preserve">Desinstalação de ar condicionado tipo Split (Hiwall, Piso Teto e Cassete), com potência entre 13.000 e 35.000 BTUs, </t>
    </r>
    <r>
      <rPr>
        <sz val="9"/>
        <color indexed="8"/>
        <rFont val="Calibri"/>
        <family val="2"/>
      </rPr>
      <t>incluindo todo o material, ferramentas e mão de obra.</t>
    </r>
  </si>
  <si>
    <r>
      <t xml:space="preserve">Desinstalação de ar condicionado tipo Split (Hiwall, Piso Teto e Cassete), com potência entre 36.000 e 60.000 BTUs, </t>
    </r>
    <r>
      <rPr>
        <sz val="9"/>
        <color indexed="8"/>
        <rFont val="Calibri"/>
        <family val="2"/>
      </rPr>
      <t>incluindo todo o material, ferramentas e mão de obra.</t>
    </r>
  </si>
  <si>
    <r>
      <t>Manutenção preventiva/corretiva em bebedouros e purificadores de água</t>
    </r>
    <r>
      <rPr>
        <sz val="9"/>
        <color indexed="8"/>
        <rFont val="Calibri"/>
        <family val="2"/>
      </rPr>
      <t>, incluindo fornecimento de mão de obra e ferramentas.</t>
    </r>
  </si>
  <si>
    <r>
      <t xml:space="preserve">Manutenção em frigobar, </t>
    </r>
    <r>
      <rPr>
        <sz val="9"/>
        <color indexed="8"/>
        <rFont val="Calibri"/>
        <family val="2"/>
      </rPr>
      <t xml:space="preserve"> incluindo o fornecimento de mão de obra e ferramentas</t>
    </r>
  </si>
  <si>
    <t>Serviço de elaboração e implantação do Plano de Manutenção Operação e Controle - PMOC</t>
  </si>
  <si>
    <t>VALOR TOTAL DO CONTRATO (30 MESES)</t>
  </si>
  <si>
    <t>Quantidade Recarga 30 meses</t>
  </si>
  <si>
    <t>Valor  Recarga (30 meses)</t>
  </si>
  <si>
    <t>Quantidade Teste Hidrostático</t>
  </si>
  <si>
    <t>Valor contratado por equipamento/  localidade</t>
  </si>
  <si>
    <t>Recarga             (valor unitário)</t>
  </si>
  <si>
    <t>Teste hidrostático (valor unitário)</t>
  </si>
  <si>
    <t>Pintor</t>
  </si>
  <si>
    <t>Serviços de pintura</t>
  </si>
  <si>
    <t>VALOR TOTAL (30 meses)</t>
  </si>
  <si>
    <t>7233-10</t>
  </si>
  <si>
    <t xml:space="preserve">FORNECIMENTO DE MÃO DE OBRA SEM DEDICAÇÃO EXCLUSIVA (COM INSUMOS) - MANUTENÇÃO PREVENTIVA E CORRETIVA </t>
  </si>
  <si>
    <t>DIÁRIAS (30 meses)</t>
  </si>
  <si>
    <t>Valor mensal</t>
  </si>
  <si>
    <t>Quantidade Estimada (30 meses)</t>
  </si>
  <si>
    <t>Supervisor</t>
  </si>
  <si>
    <t>Qtde. Estimada (30 meses)</t>
  </si>
  <si>
    <t>Valor total     (30 meses)</t>
  </si>
  <si>
    <t>Valor total             (30 meses)</t>
  </si>
  <si>
    <t xml:space="preserve">MATERIAIS SOB DEMANDA </t>
  </si>
  <si>
    <t>1.3</t>
  </si>
  <si>
    <t>2.3</t>
  </si>
  <si>
    <t>2.4</t>
  </si>
  <si>
    <t>Pintor CBO 7233-10</t>
  </si>
  <si>
    <t>Fornecimento de mão de obra SEM dedicação exclusiva, equipe volante permanente - manutenção preventiva e corretiva - com previsão de EPIs, insumos e ferramentas (Oficial de Manutenção,Engenheiro Civil, Pintor e Jardineiro)</t>
  </si>
  <si>
    <t>Fornecimento de mão de obra SEM dedicação exclusiva (eventual) - profissionais diversos, serviços e reparos imprevisíveis – Sob demanda (RESERVA FIXA)</t>
  </si>
  <si>
    <t>Diversos</t>
  </si>
  <si>
    <t>Manutenção de Equipamentos de  Refrigeração</t>
  </si>
  <si>
    <t>Manutenção equipamentos de refrigeração (todas as unidades)</t>
  </si>
  <si>
    <t>PERCENTUAL DE DESCONTO SOBRE ITEM 3</t>
  </si>
  <si>
    <t>PERCENTUAL DE DESCONTO SOBRE ITEM 5</t>
  </si>
  <si>
    <t>Encarregado - CBO 7102-05</t>
  </si>
  <si>
    <t>JULHO/2022</t>
  </si>
  <si>
    <t>SINDINSTALAÇÃO-SP X SINTRACON-SP - SP006398/2022</t>
  </si>
  <si>
    <t>VALOR 30 MESES ESTIMADO</t>
  </si>
  <si>
    <t xml:space="preserve">CATMAT/     CATSERV </t>
  </si>
  <si>
    <t>Supervisor - 44 horas semanais - Diurno</t>
  </si>
  <si>
    <t>9501-10</t>
  </si>
  <si>
    <t>Pernoite valor referencial de 7 UFESP por noite</t>
  </si>
  <si>
    <t>Quantidade mensal</t>
  </si>
  <si>
    <t>VALOR TOTAL DA MÃO DE OBRA</t>
  </si>
  <si>
    <t>Custo de Deslocamento</t>
  </si>
  <si>
    <t>Fame, WEG, Alumbra  e Pialplus</t>
  </si>
  <si>
    <t>Adaptador de tomada de padrão plugue 03 pinos (3P) para padrão plugue 2 pinos (2P+T). Entrada bipolar com contato de aterramento padrão plugue 03 pinos correspondente à NBR ABNT 14136 tensão 110-220V. Saída bipolar sem contato de aterramento (2P) conhecido como padrão antigo, tensão de 250 V. Corpo em plástico resistente ao fogo sem aba extra, grau de proteção normal, contatos elétricos em liga de cobre (latão).Macho ou femea (conforme requisição)</t>
  </si>
  <si>
    <t>Fame, Tramontina, piaplus</t>
  </si>
  <si>
    <t xml:space="preserve">Quantidade Estimada </t>
  </si>
  <si>
    <t>SERROTE PROFISSIONAL, MATERIAL LÂMINA AÇO ALTO CARBONO, TRATAMENTO SUPERFICIAL TEMPERADO E LIXADO, TIPO TRAVADO, QUANTIDADE DENTES 5 POR POLEGADA, MATERIAL CABO MADEIRA, TAMANHO 24</t>
  </si>
  <si>
    <t>DESCRIÇÃO</t>
  </si>
  <si>
    <t>OBSERVAÇÕES PARA O LICITANTE - CAMPOS EDITÁVEIS EM AMARELO</t>
  </si>
</sst>
</file>

<file path=xl/styles.xml><?xml version="1.0" encoding="utf-8"?>
<styleSheet xmlns="http://schemas.openxmlformats.org/spreadsheetml/2006/main">
  <numFmts count="3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quot;R$&quot;* #,##0.00_-;\-&quot;R$&quot;* #,##0.00_-;_-&quot;R$&quot;* &quot;-&quot;??_-;_-@_-"/>
    <numFmt numFmtId="165" formatCode="&quot;R$ &quot;#,##0.00"/>
    <numFmt numFmtId="166" formatCode="0.000%"/>
    <numFmt numFmtId="167" formatCode="&quot;R$ &quot;#,##0.00;[Red]&quot;-R$ &quot;#,##0.00"/>
    <numFmt numFmtId="168" formatCode="&quot;R$&quot;#,##0.00"/>
    <numFmt numFmtId="169" formatCode="0.0000%"/>
    <numFmt numFmtId="170" formatCode="&quot;R$&quot;\ #,##0.00"/>
    <numFmt numFmtId="171" formatCode="0.000"/>
    <numFmt numFmtId="172" formatCode="0.0000"/>
    <numFmt numFmtId="173" formatCode="&quot; R$ &quot;#,##0.00\ ;&quot; R$ (&quot;#,##0.00\);&quot; R$ -&quot;#\ ;@\ "/>
    <numFmt numFmtId="174" formatCode="#,##0.0000000000_ ;\-#,##0.0000000000\ "/>
    <numFmt numFmtId="175" formatCode="0.0000000000"/>
    <numFmt numFmtId="176" formatCode="_-&quot;R$&quot;\ * #,##0.0000_-;\-&quot;R$&quot;\ * #,##0.0000_-;_-&quot;R$&quot;\ * &quot;-&quot;??_-;_-@_-"/>
    <numFmt numFmtId="177" formatCode="0.00000E+00"/>
    <numFmt numFmtId="178" formatCode="_(* #,##0.00_);_(* \(#,##0.00\);_(* \-??_);_(@_)"/>
    <numFmt numFmtId="179" formatCode="#,##0_ ;\-#,##0\ "/>
    <numFmt numFmtId="180" formatCode="#,##0.0"/>
    <numFmt numFmtId="181" formatCode="#,##0.000"/>
    <numFmt numFmtId="182" formatCode="#,##0.0000"/>
    <numFmt numFmtId="183" formatCode="#,##0.00000"/>
    <numFmt numFmtId="184" formatCode="0.0"/>
    <numFmt numFmtId="185" formatCode="_-&quot;R$&quot;\ * #,##0.000_-;\-&quot;R$&quot;\ * #,##0.000_-;_-&quot;R$&quot;\ * &quot;-&quot;??_-;_-@_-"/>
  </numFmts>
  <fonts count="109">
    <font>
      <sz val="11"/>
      <color indexed="8"/>
      <name val="Calibri"/>
      <family val="2"/>
    </font>
    <font>
      <sz val="10"/>
      <name val="Arial"/>
      <family val="2"/>
    </font>
    <font>
      <b/>
      <sz val="9"/>
      <name val="Segoe UI"/>
      <family val="2"/>
    </font>
    <font>
      <b/>
      <sz val="10"/>
      <color indexed="8"/>
      <name val="Calibri Light"/>
      <family val="2"/>
    </font>
    <font>
      <sz val="9"/>
      <name val="Segoe UI"/>
      <family val="2"/>
    </font>
    <font>
      <b/>
      <sz val="10"/>
      <name val="Calibri Light"/>
      <family val="2"/>
    </font>
    <font>
      <b/>
      <u val="single"/>
      <sz val="10"/>
      <name val="Calibri Light"/>
      <family val="2"/>
    </font>
    <font>
      <b/>
      <sz val="11"/>
      <color indexed="8"/>
      <name val="Calibri"/>
      <family val="2"/>
    </font>
    <font>
      <sz val="10"/>
      <name val="Calibri Light"/>
      <family val="2"/>
    </font>
    <font>
      <b/>
      <sz val="10"/>
      <color indexed="10"/>
      <name val="Calibri Light"/>
      <family val="2"/>
    </font>
    <font>
      <b/>
      <u val="single"/>
      <sz val="11"/>
      <color indexed="8"/>
      <name val="Calibri"/>
      <family val="2"/>
    </font>
    <font>
      <b/>
      <sz val="10"/>
      <name val="Arial"/>
      <family val="2"/>
    </font>
    <font>
      <b/>
      <sz val="16"/>
      <color indexed="8"/>
      <name val="Calibri"/>
      <family val="2"/>
    </font>
    <font>
      <vertAlign val="superscript"/>
      <sz val="11"/>
      <color indexed="8"/>
      <name val="Calibri"/>
      <family val="2"/>
    </font>
    <font>
      <sz val="8"/>
      <name val="Calibri"/>
      <family val="2"/>
    </font>
    <font>
      <sz val="11"/>
      <name val="Calibri"/>
      <family val="2"/>
    </font>
    <font>
      <b/>
      <sz val="11"/>
      <name val="Calibri"/>
      <family val="2"/>
    </font>
    <font>
      <b/>
      <sz val="12"/>
      <color indexed="8"/>
      <name val="Calibri"/>
      <family val="2"/>
    </font>
    <font>
      <vertAlign val="superscript"/>
      <sz val="11"/>
      <name val="Calibri"/>
      <family val="2"/>
    </font>
    <font>
      <b/>
      <u val="single"/>
      <sz val="11"/>
      <name val="Calibri"/>
      <family val="2"/>
    </font>
    <font>
      <b/>
      <sz val="10"/>
      <name val="Calibri"/>
      <family val="2"/>
    </font>
    <font>
      <sz val="10"/>
      <name val="Calibri"/>
      <family val="2"/>
    </font>
    <font>
      <vertAlign val="superscript"/>
      <sz val="10"/>
      <name val="Calibri"/>
      <family val="2"/>
    </font>
    <font>
      <b/>
      <u val="single"/>
      <sz val="10"/>
      <name val="Calibri"/>
      <family val="2"/>
    </font>
    <font>
      <sz val="10"/>
      <color indexed="8"/>
      <name val="Calibri"/>
      <family val="2"/>
    </font>
    <font>
      <u val="single"/>
      <sz val="10"/>
      <name val="Calibri"/>
      <family val="2"/>
    </font>
    <font>
      <b/>
      <sz val="10"/>
      <color indexed="8"/>
      <name val="Calibri"/>
      <family val="2"/>
    </font>
    <font>
      <sz val="9"/>
      <name val="Calibri  "/>
      <family val="0"/>
    </font>
    <font>
      <sz val="11"/>
      <name val="Arial"/>
      <family val="2"/>
    </font>
    <font>
      <sz val="10"/>
      <color indexed="8"/>
      <name val="Arial"/>
      <family val="2"/>
    </font>
    <font>
      <b/>
      <sz val="9"/>
      <color indexed="8"/>
      <name val="Calibri"/>
      <family val="2"/>
    </font>
    <font>
      <sz val="9"/>
      <color indexed="8"/>
      <name val="Calibri"/>
      <family val="2"/>
    </font>
    <font>
      <b/>
      <sz val="9"/>
      <name val="Calibri  "/>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30"/>
      <name val="Calibri"/>
      <family val="2"/>
    </font>
    <font>
      <u val="single"/>
      <sz val="11"/>
      <color indexed="25"/>
      <name val="Calibri"/>
      <family val="2"/>
    </font>
    <font>
      <sz val="11"/>
      <color indexed="60"/>
      <name val="Calibri"/>
      <family val="2"/>
    </font>
    <font>
      <sz val="11"/>
      <color indexed="8"/>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8"/>
      <name val="Calibri Light"/>
      <family val="2"/>
    </font>
    <font>
      <sz val="11"/>
      <color indexed="9"/>
      <name val="Calibri Light"/>
      <family val="2"/>
    </font>
    <font>
      <sz val="10"/>
      <color indexed="8"/>
      <name val="Calibri Light"/>
      <family val="2"/>
    </font>
    <font>
      <b/>
      <sz val="10"/>
      <color indexed="9"/>
      <name val="Calibri Light"/>
      <family val="2"/>
    </font>
    <font>
      <sz val="11"/>
      <name val="Calibri Light"/>
      <family val="2"/>
    </font>
    <font>
      <b/>
      <sz val="11"/>
      <name val="Calibri Light"/>
      <family val="2"/>
    </font>
    <font>
      <sz val="10"/>
      <color indexed="10"/>
      <name val="Calibri Light"/>
      <family val="2"/>
    </font>
    <font>
      <sz val="9"/>
      <color indexed="8"/>
      <name val="Calibri  "/>
      <family val="0"/>
    </font>
    <font>
      <b/>
      <sz val="9"/>
      <color indexed="8"/>
      <name val="Calibri  "/>
      <family val="0"/>
    </font>
    <font>
      <sz val="10"/>
      <color indexed="10"/>
      <name val="Calibri"/>
      <family val="2"/>
    </font>
    <font>
      <b/>
      <sz val="11"/>
      <color indexed="10"/>
      <name val="Calibri"/>
      <family val="2"/>
    </font>
    <font>
      <i/>
      <sz val="10"/>
      <color indexed="8"/>
      <name val="Calibri Light"/>
      <family val="2"/>
    </font>
    <font>
      <b/>
      <sz val="11"/>
      <color indexed="8"/>
      <name val="Calibri Light"/>
      <family val="2"/>
    </font>
    <font>
      <b/>
      <sz val="8"/>
      <name val="Calibri Light"/>
      <family val="2"/>
    </font>
    <font>
      <b/>
      <sz val="11"/>
      <color indexed="10"/>
      <name val="Calibri Light"/>
      <family val="2"/>
    </font>
    <font>
      <b/>
      <sz val="9"/>
      <name val="Calibri Light"/>
      <family val="2"/>
    </font>
    <font>
      <b/>
      <sz val="9"/>
      <color indexed="10"/>
      <name val="Calibri  "/>
      <family val="0"/>
    </font>
    <font>
      <b/>
      <sz val="10"/>
      <color indexed="10"/>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6500"/>
      <name val="Calibri"/>
      <family val="2"/>
    </font>
    <font>
      <sz val="11"/>
      <color rgb="FF000000"/>
      <name val="Arial"/>
      <family val="2"/>
    </font>
    <font>
      <sz val="10"/>
      <color rgb="FF00000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theme="0"/>
      <name val="Calibri Light"/>
      <family val="2"/>
    </font>
    <font>
      <sz val="10"/>
      <color rgb="FFFF0000"/>
      <name val="Calibri Light"/>
      <family val="2"/>
    </font>
    <font>
      <sz val="10"/>
      <color theme="1"/>
      <name val="Calibri Light"/>
      <family val="2"/>
    </font>
    <font>
      <sz val="10"/>
      <color theme="1"/>
      <name val="Calibri"/>
      <family val="2"/>
    </font>
    <font>
      <sz val="9"/>
      <color theme="1"/>
      <name val="Calibri  "/>
      <family val="0"/>
    </font>
    <font>
      <b/>
      <sz val="9"/>
      <color theme="1"/>
      <name val="Calibri  "/>
      <family val="0"/>
    </font>
    <font>
      <b/>
      <sz val="10"/>
      <color rgb="FF000000"/>
      <name val="Calibri"/>
      <family val="2"/>
    </font>
    <font>
      <b/>
      <sz val="10"/>
      <color theme="1"/>
      <name val="Calibri"/>
      <family val="2"/>
    </font>
    <font>
      <sz val="10"/>
      <color rgb="FF000000"/>
      <name val="Calibri"/>
      <family val="2"/>
    </font>
    <font>
      <sz val="10"/>
      <color rgb="FFFF0000"/>
      <name val="Calibri"/>
      <family val="2"/>
    </font>
    <font>
      <b/>
      <sz val="11"/>
      <color rgb="FFFF0000"/>
      <name val="Calibri"/>
      <family val="2"/>
    </font>
    <font>
      <sz val="10"/>
      <color rgb="FF000000"/>
      <name val="Calibri Light"/>
      <family val="2"/>
    </font>
    <font>
      <b/>
      <sz val="11"/>
      <color rgb="FFFF0000"/>
      <name val="Calibri Light"/>
      <family val="2"/>
    </font>
    <font>
      <b/>
      <sz val="10"/>
      <color rgb="FFFF0000"/>
      <name val="Calibri Light"/>
      <family val="2"/>
    </font>
    <font>
      <b/>
      <sz val="9"/>
      <color rgb="FFFF0000"/>
      <name val="Calibri  "/>
      <family val="0"/>
    </font>
    <font>
      <b/>
      <sz val="10"/>
      <color rgb="FFFF0000"/>
      <name val="Calibri"/>
      <family val="2"/>
    </font>
    <font>
      <sz val="11"/>
      <color rgb="FF000000"/>
      <name val="Calibri"/>
      <family val="2"/>
    </font>
    <font>
      <b/>
      <sz val="8"/>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indexed="27"/>
        <bgColor indexed="64"/>
      </patternFill>
    </fill>
    <fill>
      <patternFill patternType="solid">
        <fgColor indexed="42"/>
        <bgColor indexed="64"/>
      </patternFill>
    </fill>
    <fill>
      <patternFill patternType="solid">
        <fgColor indexed="31"/>
        <bgColor indexed="64"/>
      </patternFill>
    </fill>
    <fill>
      <patternFill patternType="solid">
        <fgColor theme="9" tint="0.7999799847602844"/>
        <bgColor indexed="64"/>
      </patternFill>
    </fill>
    <fill>
      <patternFill patternType="solid">
        <fgColor indexed="1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rgb="FFD7D7D7"/>
        <bgColor indexed="64"/>
      </patternFill>
    </fill>
    <fill>
      <patternFill patternType="solid">
        <fgColor theme="0"/>
        <bgColor indexed="64"/>
      </patternFill>
    </fill>
    <fill>
      <patternFill patternType="solid">
        <fgColor indexed="23"/>
        <bgColor indexed="64"/>
      </patternFill>
    </fill>
    <fill>
      <patternFill patternType="solid">
        <fgColor theme="0" tint="-0.1499900072813034"/>
        <bgColor indexed="64"/>
      </patternFill>
    </fill>
    <fill>
      <patternFill patternType="solid">
        <fgColor indexed="26"/>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5999900102615356"/>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
      <left/>
      <right/>
      <top style="thin"/>
      <bottom/>
    </border>
    <border>
      <left style="thin"/>
      <right style="thin"/>
      <top style="thin"/>
      <bottom style="thin"/>
    </border>
    <border>
      <left style="thin"/>
      <right style="thin"/>
      <top style="thin"/>
      <bottom/>
    </border>
    <border>
      <left/>
      <right/>
      <top/>
      <bottom style="thin"/>
    </border>
    <border>
      <left style="thin"/>
      <right/>
      <top style="thin"/>
      <bottom/>
    </border>
    <border>
      <left style="thin"/>
      <right style="thin"/>
      <top/>
      <bottom style="thin"/>
    </border>
    <border>
      <left style="thin"/>
      <right/>
      <top/>
      <bottom style="thin"/>
    </border>
    <border>
      <left/>
      <right style="thin"/>
      <top/>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medium"/>
      <right style="thin"/>
      <top/>
      <bottom style="thin"/>
    </border>
    <border>
      <left>
        <color indexed="63"/>
      </left>
      <right style="medium"/>
      <top>
        <color indexed="63"/>
      </top>
      <bottom style="medium"/>
    </border>
    <border>
      <left style="thin"/>
      <right style="thin"/>
      <top/>
      <bottom/>
    </border>
    <border>
      <left style="hair">
        <color indexed="8"/>
      </left>
      <right style="hair">
        <color indexed="8"/>
      </right>
      <top/>
      <bottom/>
    </border>
    <border>
      <left/>
      <right style="thin"/>
      <top style="thin"/>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hair">
        <color indexed="8"/>
      </right>
      <top/>
      <bottom/>
    </border>
    <border>
      <left style="hair">
        <color indexed="8"/>
      </left>
      <right/>
      <top/>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style="medium"/>
      <right style="thin"/>
      <top/>
      <botto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1" borderId="1" applyNumberFormat="0" applyAlignment="0" applyProtection="0"/>
    <xf numFmtId="0" fontId="74" fillId="22" borderId="2" applyNumberFormat="0" applyAlignment="0" applyProtection="0"/>
    <xf numFmtId="0" fontId="75" fillId="0" borderId="3" applyNumberFormat="0" applyFill="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6" fillId="29" borderId="1"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44" fontId="1" fillId="0" borderId="0" applyFill="0" applyBorder="0" applyAlignment="0" applyProtection="0"/>
    <xf numFmtId="42" fontId="0" fillId="0" borderId="0" applyFont="0" applyFill="0" applyBorder="0" applyAlignment="0" applyProtection="0"/>
    <xf numFmtId="164" fontId="70" fillId="0" borderId="0" applyFont="0" applyFill="0" applyBorder="0" applyAlignment="0" applyProtection="0"/>
    <xf numFmtId="44" fontId="70" fillId="0" borderId="0" applyFont="0" applyFill="0" applyBorder="0" applyAlignment="0" applyProtection="0"/>
    <xf numFmtId="44" fontId="70" fillId="0" borderId="0" applyFont="0" applyFill="0" applyBorder="0" applyAlignment="0" applyProtection="0"/>
    <xf numFmtId="44" fontId="70" fillId="0" borderId="0" applyFont="0" applyFill="0" applyBorder="0" applyAlignment="0" applyProtection="0"/>
    <xf numFmtId="44" fontId="70" fillId="0" borderId="0" applyFont="0" applyFill="0" applyBorder="0" applyAlignment="0" applyProtection="0"/>
    <xf numFmtId="44" fontId="70" fillId="0" borderId="0" applyFont="0" applyFill="0" applyBorder="0" applyAlignment="0" applyProtection="0"/>
    <xf numFmtId="44" fontId="70" fillId="0" borderId="0" applyFont="0" applyFill="0" applyBorder="0" applyAlignment="0" applyProtection="0"/>
    <xf numFmtId="44" fontId="70" fillId="0" borderId="0" applyFont="0" applyFill="0" applyBorder="0" applyAlignment="0" applyProtection="0"/>
    <xf numFmtId="44" fontId="70" fillId="0" borderId="0" applyFont="0" applyFill="0" applyBorder="0" applyAlignment="0" applyProtection="0"/>
    <xf numFmtId="164" fontId="70" fillId="0" borderId="0" applyFont="0" applyFill="0" applyBorder="0" applyAlignment="0" applyProtection="0"/>
    <xf numFmtId="44" fontId="70" fillId="0" borderId="0" applyFont="0" applyFill="0" applyBorder="0" applyAlignment="0" applyProtection="0"/>
    <xf numFmtId="44" fontId="70" fillId="0" borderId="0" applyFont="0" applyFill="0" applyBorder="0" applyAlignment="0" applyProtection="0"/>
    <xf numFmtId="44" fontId="28" fillId="0" borderId="0" applyFont="0" applyFill="0" applyBorder="0" applyAlignment="0" applyProtection="0"/>
    <xf numFmtId="0" fontId="79" fillId="30" borderId="0" applyNumberFormat="0" applyBorder="0" applyAlignment="0" applyProtection="0"/>
    <xf numFmtId="0" fontId="80" fillId="0" borderId="0">
      <alignment/>
      <protection/>
    </xf>
    <xf numFmtId="0" fontId="28" fillId="0" borderId="0">
      <alignment/>
      <protection/>
    </xf>
    <xf numFmtId="0" fontId="81"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28" fillId="0" borderId="0">
      <alignment/>
      <protection/>
    </xf>
    <xf numFmtId="0" fontId="0" fillId="31" borderId="4" applyNumberFormat="0" applyFont="0" applyAlignment="0" applyProtection="0"/>
    <xf numFmtId="9" fontId="1" fillId="0" borderId="0" applyFill="0" applyBorder="0" applyAlignment="0" applyProtection="0"/>
    <xf numFmtId="9" fontId="81" fillId="0" borderId="0" applyBorder="0" applyProtection="0">
      <alignment/>
    </xf>
    <xf numFmtId="0" fontId="82" fillId="32" borderId="0" applyNumberFormat="0" applyBorder="0" applyAlignment="0" applyProtection="0"/>
    <xf numFmtId="0" fontId="83" fillId="21" borderId="5" applyNumberFormat="0" applyAlignment="0" applyProtection="0"/>
    <xf numFmtId="41" fontId="0" fillId="0" borderId="0" applyFont="0" applyFill="0" applyBorder="0" applyAlignment="0" applyProtection="0"/>
    <xf numFmtId="178" fontId="28" fillId="0" borderId="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173" fontId="81" fillId="0" borderId="0" applyBorder="0" applyProtection="0">
      <alignment/>
    </xf>
    <xf numFmtId="0" fontId="86" fillId="0" borderId="0" applyNumberForma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89" fillId="0" borderId="8" applyNumberFormat="0" applyFill="0" applyAlignment="0" applyProtection="0"/>
    <xf numFmtId="0" fontId="89" fillId="0" borderId="0" applyNumberFormat="0" applyFill="0" applyBorder="0" applyAlignment="0" applyProtection="0"/>
    <xf numFmtId="0" fontId="90" fillId="0" borderId="9" applyNumberFormat="0" applyFill="0" applyAlignment="0" applyProtection="0"/>
    <xf numFmtId="43" fontId="0" fillId="0" borderId="0" applyFont="0" applyFill="0" applyBorder="0" applyAlignment="0" applyProtection="0"/>
    <xf numFmtId="178" fontId="1" fillId="0" borderId="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178" fontId="28" fillId="0" borderId="0" applyFill="0" applyBorder="0" applyAlignment="0" applyProtection="0"/>
  </cellStyleXfs>
  <cellXfs count="794">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0" borderId="0" xfId="0" applyFont="1" applyAlignment="1">
      <alignment horizontal="center"/>
    </xf>
    <xf numFmtId="0" fontId="91" fillId="0" borderId="0" xfId="0" applyFont="1" applyFill="1" applyAlignment="1">
      <alignment horizontal="center"/>
    </xf>
    <xf numFmtId="0" fontId="51" fillId="34" borderId="0" xfId="0" applyFont="1" applyFill="1" applyAlignment="1">
      <alignment/>
    </xf>
    <xf numFmtId="0" fontId="91" fillId="34" borderId="0" xfId="0" applyFont="1" applyFill="1" applyAlignment="1">
      <alignment/>
    </xf>
    <xf numFmtId="14" fontId="53" fillId="35" borderId="10" xfId="0" applyNumberFormat="1" applyFont="1" applyFill="1" applyBorder="1" applyAlignment="1">
      <alignment horizontal="center"/>
    </xf>
    <xf numFmtId="0" fontId="53" fillId="35" borderId="10" xfId="0" applyFont="1" applyFill="1" applyBorder="1" applyAlignment="1">
      <alignment horizontal="center" vertical="center" wrapText="1"/>
    </xf>
    <xf numFmtId="14" fontId="53" fillId="35" borderId="10" xfId="0" applyNumberFormat="1" applyFont="1" applyFill="1" applyBorder="1" applyAlignment="1">
      <alignment horizontal="center" vertical="center"/>
    </xf>
    <xf numFmtId="1" fontId="53" fillId="35" borderId="10" xfId="0" applyNumberFormat="1" applyFont="1" applyFill="1" applyBorder="1" applyAlignment="1">
      <alignment horizontal="center" vertical="center" wrapText="1"/>
    </xf>
    <xf numFmtId="165" fontId="3" fillId="36" borderId="10" xfId="0" applyNumberFormat="1" applyFont="1" applyFill="1" applyBorder="1" applyAlignment="1">
      <alignment horizontal="center" vertical="center"/>
    </xf>
    <xf numFmtId="165" fontId="3" fillId="37" borderId="10" xfId="0" applyNumberFormat="1" applyFont="1" applyFill="1" applyBorder="1" applyAlignment="1">
      <alignment horizontal="center" vertical="center"/>
    </xf>
    <xf numFmtId="165" fontId="3" fillId="0" borderId="10" xfId="0" applyNumberFormat="1" applyFont="1" applyBorder="1" applyAlignment="1">
      <alignment horizontal="center" vertical="center"/>
    </xf>
    <xf numFmtId="167" fontId="53" fillId="0" borderId="10" xfId="0" applyNumberFormat="1" applyFont="1" applyBorder="1" applyAlignment="1">
      <alignment horizontal="center" vertical="center"/>
    </xf>
    <xf numFmtId="167" fontId="3" fillId="36" borderId="10" xfId="0" applyNumberFormat="1" applyFont="1" applyFill="1" applyBorder="1" applyAlignment="1">
      <alignment horizontal="center" vertical="center"/>
    </xf>
    <xf numFmtId="49" fontId="53" fillId="0" borderId="10" xfId="0" applyNumberFormat="1" applyFont="1" applyBorder="1" applyAlignment="1">
      <alignment horizontal="center" vertical="center"/>
    </xf>
    <xf numFmtId="165" fontId="53" fillId="38" borderId="10" xfId="0" applyNumberFormat="1" applyFont="1" applyFill="1" applyBorder="1" applyAlignment="1">
      <alignment horizontal="center" vertical="center"/>
    </xf>
    <xf numFmtId="165" fontId="54" fillId="39" borderId="10" xfId="0" applyNumberFormat="1" applyFont="1" applyFill="1" applyBorder="1" applyAlignment="1">
      <alignment horizontal="center" vertical="center"/>
    </xf>
    <xf numFmtId="14" fontId="53" fillId="35"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0" fontId="3" fillId="13" borderId="10" xfId="0" applyFont="1" applyFill="1" applyBorder="1" applyAlignment="1">
      <alignment horizontal="center" vertical="center"/>
    </xf>
    <xf numFmtId="0" fontId="55" fillId="0" borderId="0" xfId="0" applyFont="1" applyFill="1" applyAlignment="1">
      <alignment/>
    </xf>
    <xf numFmtId="171" fontId="56" fillId="40" borderId="11" xfId="0" applyNumberFormat="1" applyFont="1" applyFill="1" applyBorder="1" applyAlignment="1">
      <alignment vertical="center"/>
    </xf>
    <xf numFmtId="171" fontId="56" fillId="40" borderId="12" xfId="0" applyNumberFormat="1" applyFont="1" applyFill="1" applyBorder="1" applyAlignment="1">
      <alignment vertical="center"/>
    </xf>
    <xf numFmtId="171" fontId="56" fillId="40" borderId="13" xfId="0" applyNumberFormat="1" applyFont="1" applyFill="1" applyBorder="1" applyAlignment="1">
      <alignment vertical="center"/>
    </xf>
    <xf numFmtId="172" fontId="55" fillId="0" borderId="0" xfId="0" applyNumberFormat="1" applyFont="1" applyFill="1" applyAlignment="1">
      <alignment/>
    </xf>
    <xf numFmtId="0" fontId="5" fillId="0" borderId="14" xfId="0" applyFont="1" applyFill="1" applyBorder="1" applyAlignment="1">
      <alignment vertical="center" wrapText="1"/>
    </xf>
    <xf numFmtId="0" fontId="5" fillId="0" borderId="0" xfId="0" applyFont="1" applyFill="1" applyBorder="1" applyAlignment="1">
      <alignment vertical="center" wrapText="1"/>
    </xf>
    <xf numFmtId="0" fontId="55" fillId="0" borderId="0" xfId="0" applyFont="1" applyFill="1" applyBorder="1" applyAlignment="1">
      <alignment/>
    </xf>
    <xf numFmtId="4" fontId="55" fillId="0" borderId="0" xfId="0" applyNumberFormat="1" applyFont="1" applyFill="1" applyAlignment="1">
      <alignment/>
    </xf>
    <xf numFmtId="10" fontId="56" fillId="0" borderId="0" xfId="0" applyNumberFormat="1" applyFont="1" applyFill="1" applyAlignment="1">
      <alignment/>
    </xf>
    <xf numFmtId="0" fontId="53" fillId="0" borderId="10" xfId="0" applyFont="1" applyBorder="1" applyAlignment="1">
      <alignment horizontal="center" vertical="center"/>
    </xf>
    <xf numFmtId="168" fontId="53" fillId="35" borderId="10" xfId="0" applyNumberFormat="1" applyFont="1" applyFill="1" applyBorder="1" applyAlignment="1">
      <alignment horizontal="center" vertical="center"/>
    </xf>
    <xf numFmtId="0" fontId="53" fillId="0" borderId="10" xfId="0" applyFont="1" applyFill="1" applyBorder="1" applyAlignment="1">
      <alignment horizontal="center" vertical="center"/>
    </xf>
    <xf numFmtId="165" fontId="53" fillId="0" borderId="10" xfId="0" applyNumberFormat="1" applyFont="1" applyFill="1" applyBorder="1" applyAlignment="1">
      <alignment horizontal="center" vertical="center"/>
    </xf>
    <xf numFmtId="165" fontId="53" fillId="0" borderId="10" xfId="0" applyNumberFormat="1" applyFont="1" applyBorder="1" applyAlignment="1">
      <alignment horizontal="center" vertical="center"/>
    </xf>
    <xf numFmtId="10" fontId="53" fillId="35" borderId="10" xfId="0" applyNumberFormat="1" applyFont="1" applyFill="1" applyBorder="1" applyAlignment="1">
      <alignment horizontal="center" vertical="center"/>
    </xf>
    <xf numFmtId="0" fontId="53" fillId="0" borderId="10" xfId="0" applyFont="1" applyBorder="1" applyAlignment="1">
      <alignment vertical="center"/>
    </xf>
    <xf numFmtId="0" fontId="54" fillId="39" borderId="10" xfId="0" applyFont="1" applyFill="1" applyBorder="1" applyAlignment="1">
      <alignment horizontal="center" vertical="center"/>
    </xf>
    <xf numFmtId="1" fontId="53" fillId="35" borderId="10" xfId="0" applyNumberFormat="1" applyFont="1" applyFill="1" applyBorder="1" applyAlignment="1">
      <alignment horizontal="center" vertical="center"/>
    </xf>
    <xf numFmtId="0" fontId="53" fillId="35" borderId="10" xfId="0" applyFont="1" applyFill="1" applyBorder="1" applyAlignment="1">
      <alignment horizontal="center" vertical="center"/>
    </xf>
    <xf numFmtId="0" fontId="3" fillId="36" borderId="10" xfId="0" applyFont="1" applyFill="1" applyBorder="1" applyAlignment="1">
      <alignment horizontal="center" vertical="center"/>
    </xf>
    <xf numFmtId="0" fontId="53" fillId="33" borderId="10" xfId="0" applyFont="1" applyFill="1" applyBorder="1" applyAlignment="1">
      <alignment horizontal="center" vertical="center"/>
    </xf>
    <xf numFmtId="165" fontId="53" fillId="35" borderId="10" xfId="0" applyNumberFormat="1" applyFont="1" applyFill="1" applyBorder="1" applyAlignment="1">
      <alignment horizontal="center" vertical="center"/>
    </xf>
    <xf numFmtId="165" fontId="92" fillId="35" borderId="10" xfId="0" applyNumberFormat="1" applyFont="1" applyFill="1" applyBorder="1" applyAlignment="1">
      <alignment horizontal="center" vertical="center" wrapText="1"/>
    </xf>
    <xf numFmtId="0" fontId="0" fillId="34" borderId="0" xfId="0" applyFill="1" applyAlignment="1">
      <alignment/>
    </xf>
    <xf numFmtId="0" fontId="0" fillId="0" borderId="15" xfId="0" applyBorder="1" applyAlignment="1">
      <alignment/>
    </xf>
    <xf numFmtId="0" fontId="0" fillId="0" borderId="0" xfId="0" applyAlignment="1">
      <alignment horizontal="center"/>
    </xf>
    <xf numFmtId="0" fontId="7" fillId="0" borderId="15" xfId="0" applyFont="1" applyBorder="1" applyAlignment="1">
      <alignment horizontal="center" vertical="center"/>
    </xf>
    <xf numFmtId="0" fontId="7" fillId="0" borderId="15" xfId="0" applyFont="1" applyBorder="1" applyAlignment="1">
      <alignment horizontal="center" vertical="center" wrapText="1"/>
    </xf>
    <xf numFmtId="0" fontId="0" fillId="0" borderId="15" xfId="0" applyBorder="1" applyAlignment="1">
      <alignment horizontal="left"/>
    </xf>
    <xf numFmtId="170" fontId="0" fillId="0" borderId="15" xfId="0" applyNumberFormat="1" applyBorder="1" applyAlignment="1">
      <alignment horizontal="center"/>
    </xf>
    <xf numFmtId="44" fontId="1" fillId="0" borderId="15" xfId="46" applyFont="1" applyBorder="1" applyAlignment="1">
      <alignment horizontal="center"/>
    </xf>
    <xf numFmtId="0" fontId="0" fillId="0" borderId="15" xfId="0" applyBorder="1" applyAlignment="1">
      <alignment horizontal="center"/>
    </xf>
    <xf numFmtId="44" fontId="11" fillId="0" borderId="15" xfId="46" applyFont="1" applyBorder="1" applyAlignment="1">
      <alignment horizontal="center"/>
    </xf>
    <xf numFmtId="44" fontId="11" fillId="0" borderId="15" xfId="46" applyFont="1" applyBorder="1" applyAlignment="1">
      <alignment/>
    </xf>
    <xf numFmtId="4" fontId="0" fillId="0" borderId="15" xfId="0" applyNumberFormat="1" applyBorder="1" applyAlignment="1">
      <alignment horizontal="center"/>
    </xf>
    <xf numFmtId="44" fontId="7" fillId="0" borderId="15" xfId="0" applyNumberFormat="1" applyFont="1" applyBorder="1" applyAlignment="1">
      <alignment/>
    </xf>
    <xf numFmtId="0" fontId="7" fillId="34" borderId="15" xfId="0" applyFont="1" applyFill="1" applyBorder="1" applyAlignment="1">
      <alignment horizontal="center" vertical="center" wrapText="1"/>
    </xf>
    <xf numFmtId="0" fontId="0" fillId="34" borderId="15" xfId="0" applyFill="1" applyBorder="1" applyAlignment="1">
      <alignment horizontal="center" vertical="center"/>
    </xf>
    <xf numFmtId="0" fontId="53" fillId="0" borderId="10" xfId="0" applyFont="1" applyBorder="1" applyAlignment="1">
      <alignment horizontal="left" vertical="center"/>
    </xf>
    <xf numFmtId="10" fontId="53" fillId="0" borderId="10" xfId="0" applyNumberFormat="1" applyFont="1" applyFill="1" applyBorder="1" applyAlignment="1">
      <alignment horizontal="center" vertical="center"/>
    </xf>
    <xf numFmtId="9" fontId="53" fillId="0" borderId="10" xfId="0" applyNumberFormat="1" applyFont="1" applyBorder="1" applyAlignment="1">
      <alignment horizontal="center" vertical="center"/>
    </xf>
    <xf numFmtId="0" fontId="7" fillId="0" borderId="16" xfId="0" applyFont="1" applyBorder="1" applyAlignment="1">
      <alignment horizontal="center" vertical="center" wrapText="1"/>
    </xf>
    <xf numFmtId="44" fontId="1" fillId="0" borderId="15" xfId="46" applyBorder="1" applyAlignment="1">
      <alignment horizontal="center" vertical="center"/>
    </xf>
    <xf numFmtId="0" fontId="7" fillId="0" borderId="13" xfId="0" applyFont="1" applyBorder="1" applyAlignment="1">
      <alignment/>
    </xf>
    <xf numFmtId="44" fontId="7" fillId="0" borderId="13" xfId="0" applyNumberFormat="1" applyFont="1" applyBorder="1" applyAlignment="1">
      <alignment/>
    </xf>
    <xf numFmtId="0" fontId="7" fillId="34" borderId="17" xfId="0" applyFont="1" applyFill="1" applyBorder="1" applyAlignment="1">
      <alignment horizontal="center"/>
    </xf>
    <xf numFmtId="0" fontId="7" fillId="34" borderId="0" xfId="0" applyFont="1" applyFill="1" applyBorder="1" applyAlignment="1">
      <alignment horizontal="center"/>
    </xf>
    <xf numFmtId="1" fontId="93" fillId="35" borderId="10" xfId="0" applyNumberFormat="1" applyFont="1" applyFill="1" applyBorder="1" applyAlignment="1">
      <alignment horizontal="center" vertical="center"/>
    </xf>
    <xf numFmtId="0" fontId="55" fillId="34" borderId="0" xfId="0" applyFont="1" applyFill="1" applyAlignment="1">
      <alignment/>
    </xf>
    <xf numFmtId="0" fontId="10" fillId="0" borderId="0" xfId="0" applyFont="1" applyAlignment="1">
      <alignment horizontal="center"/>
    </xf>
    <xf numFmtId="0" fontId="7" fillId="0" borderId="18" xfId="0" applyFont="1" applyBorder="1" applyAlignment="1">
      <alignment horizontal="left"/>
    </xf>
    <xf numFmtId="0" fontId="0" fillId="34" borderId="15" xfId="0" applyNumberFormat="1" applyFill="1" applyBorder="1" applyAlignment="1">
      <alignment horizontal="center"/>
    </xf>
    <xf numFmtId="4" fontId="7" fillId="0" borderId="16" xfId="0" applyNumberFormat="1" applyFont="1" applyBorder="1" applyAlignment="1">
      <alignment horizontal="center"/>
    </xf>
    <xf numFmtId="168" fontId="53" fillId="35" borderId="10" xfId="0" applyNumberFormat="1" applyFont="1" applyFill="1" applyBorder="1" applyAlignment="1">
      <alignment horizontal="center" vertical="center"/>
    </xf>
    <xf numFmtId="0" fontId="53" fillId="0" borderId="10" xfId="0" applyFont="1" applyFill="1" applyBorder="1" applyAlignment="1">
      <alignment horizontal="center" vertical="center"/>
    </xf>
    <xf numFmtId="0" fontId="53" fillId="0" borderId="10" xfId="0" applyFont="1" applyBorder="1" applyAlignment="1">
      <alignment horizontal="center" vertical="center"/>
    </xf>
    <xf numFmtId="0" fontId="53" fillId="0" borderId="10" xfId="0" applyFont="1" applyBorder="1" applyAlignment="1">
      <alignment vertical="center"/>
    </xf>
    <xf numFmtId="165" fontId="53" fillId="0" borderId="10" xfId="0" applyNumberFormat="1" applyFont="1" applyBorder="1" applyAlignment="1">
      <alignment horizontal="center" vertical="center"/>
    </xf>
    <xf numFmtId="0" fontId="3" fillId="36" borderId="10" xfId="0" applyFont="1" applyFill="1" applyBorder="1" applyAlignment="1">
      <alignment horizontal="center" vertical="center"/>
    </xf>
    <xf numFmtId="0" fontId="53" fillId="33" borderId="10" xfId="0" applyFont="1" applyFill="1" applyBorder="1" applyAlignment="1">
      <alignment horizontal="center" vertical="center"/>
    </xf>
    <xf numFmtId="165" fontId="53" fillId="0" borderId="10" xfId="0" applyNumberFormat="1" applyFont="1" applyFill="1" applyBorder="1" applyAlignment="1">
      <alignment horizontal="center" vertical="center"/>
    </xf>
    <xf numFmtId="0" fontId="53" fillId="0" borderId="10" xfId="0" applyFont="1" applyBorder="1" applyAlignment="1">
      <alignment horizontal="left" vertical="center"/>
    </xf>
    <xf numFmtId="10" fontId="53" fillId="35" borderId="10" xfId="0" applyNumberFormat="1" applyFont="1" applyFill="1" applyBorder="1" applyAlignment="1">
      <alignment horizontal="center" vertical="center"/>
    </xf>
    <xf numFmtId="0" fontId="54" fillId="39" borderId="10" xfId="0" applyFont="1" applyFill="1" applyBorder="1" applyAlignment="1">
      <alignment horizontal="center" vertical="center"/>
    </xf>
    <xf numFmtId="0" fontId="53" fillId="35" borderId="10" xfId="0" applyFont="1" applyFill="1" applyBorder="1" applyAlignment="1">
      <alignment horizontal="center" vertical="center"/>
    </xf>
    <xf numFmtId="10" fontId="53" fillId="0" borderId="10" xfId="0" applyNumberFormat="1" applyFont="1" applyFill="1" applyBorder="1" applyAlignment="1">
      <alignment horizontal="center" vertical="center"/>
    </xf>
    <xf numFmtId="165" fontId="53" fillId="35" borderId="10" xfId="0" applyNumberFormat="1" applyFont="1" applyFill="1" applyBorder="1" applyAlignment="1">
      <alignment horizontal="center" vertical="center"/>
    </xf>
    <xf numFmtId="0" fontId="0" fillId="34" borderId="15" xfId="0" applyFill="1" applyBorder="1" applyAlignment="1">
      <alignment horizontal="center"/>
    </xf>
    <xf numFmtId="3" fontId="0" fillId="34" borderId="15" xfId="0" applyNumberFormat="1" applyFill="1" applyBorder="1" applyAlignment="1">
      <alignment horizontal="center"/>
    </xf>
    <xf numFmtId="175" fontId="1" fillId="34" borderId="15" xfId="46" applyNumberFormat="1" applyFont="1" applyFill="1" applyBorder="1" applyAlignment="1">
      <alignment horizontal="center"/>
    </xf>
    <xf numFmtId="177" fontId="0" fillId="0" borderId="15" xfId="0" applyNumberFormat="1" applyBorder="1" applyAlignment="1">
      <alignment/>
    </xf>
    <xf numFmtId="170" fontId="15" fillId="0" borderId="15" xfId="46" applyNumberFormat="1" applyFont="1" applyBorder="1" applyAlignment="1">
      <alignment horizontal="center"/>
    </xf>
    <xf numFmtId="176" fontId="1" fillId="0" borderId="15" xfId="46" applyNumberFormat="1" applyFont="1" applyBorder="1" applyAlignment="1">
      <alignment/>
    </xf>
    <xf numFmtId="0" fontId="0" fillId="34" borderId="15" xfId="0" applyFill="1" applyBorder="1" applyAlignment="1">
      <alignment horizontal="left"/>
    </xf>
    <xf numFmtId="174" fontId="1" fillId="34" borderId="15" xfId="46" applyNumberFormat="1" applyFont="1" applyFill="1" applyBorder="1" applyAlignment="1">
      <alignment horizontal="center"/>
    </xf>
    <xf numFmtId="44" fontId="1" fillId="0" borderId="15" xfId="46" applyFont="1" applyBorder="1" applyAlignment="1">
      <alignment/>
    </xf>
    <xf numFmtId="0" fontId="7" fillId="0" borderId="0" xfId="0" applyFont="1" applyAlignment="1">
      <alignment/>
    </xf>
    <xf numFmtId="0" fontId="0" fillId="0" borderId="0" xfId="0" applyAlignment="1">
      <alignment horizontal="left"/>
    </xf>
    <xf numFmtId="2" fontId="0" fillId="0" borderId="0" xfId="0" applyNumberFormat="1" applyAlignment="1">
      <alignment horizontal="center"/>
    </xf>
    <xf numFmtId="2" fontId="0" fillId="0" borderId="0" xfId="0" applyNumberFormat="1" applyAlignment="1">
      <alignment horizontal="left"/>
    </xf>
    <xf numFmtId="0" fontId="7" fillId="0" borderId="13" xfId="0" applyFont="1" applyBorder="1" applyAlignment="1">
      <alignment horizontal="center" vertical="center" wrapText="1"/>
    </xf>
    <xf numFmtId="0" fontId="0" fillId="0" borderId="15" xfId="0" applyBorder="1" applyAlignment="1">
      <alignment horizontal="left" vertical="center"/>
    </xf>
    <xf numFmtId="0" fontId="0" fillId="0" borderId="15" xfId="0" applyBorder="1" applyAlignment="1">
      <alignment horizontal="center" vertical="center"/>
    </xf>
    <xf numFmtId="4" fontId="0" fillId="0" borderId="15" xfId="0" applyNumberFormat="1" applyBorder="1" applyAlignment="1">
      <alignment horizontal="center" vertical="center"/>
    </xf>
    <xf numFmtId="44" fontId="0" fillId="0" borderId="15" xfId="0" applyNumberFormat="1" applyBorder="1" applyAlignment="1">
      <alignment vertical="center"/>
    </xf>
    <xf numFmtId="0" fontId="71" fillId="0" borderId="0" xfId="0" applyFont="1" applyAlignment="1">
      <alignment/>
    </xf>
    <xf numFmtId="0" fontId="84" fillId="0" borderId="0" xfId="0" applyFont="1" applyAlignment="1">
      <alignment/>
    </xf>
    <xf numFmtId="0" fontId="0" fillId="0" borderId="0" xfId="0" applyAlignment="1" applyProtection="1">
      <alignment/>
      <protection/>
    </xf>
    <xf numFmtId="0" fontId="7" fillId="41" borderId="15" xfId="0" applyFont="1" applyFill="1" applyBorder="1" applyAlignment="1" applyProtection="1">
      <alignment horizontal="center" vertical="center" wrapText="1"/>
      <protection/>
    </xf>
    <xf numFmtId="0" fontId="0" fillId="0" borderId="15" xfId="0" applyBorder="1" applyAlignment="1" applyProtection="1">
      <alignment horizontal="center" vertical="center"/>
      <protection/>
    </xf>
    <xf numFmtId="44" fontId="1" fillId="0" borderId="15" xfId="46" applyBorder="1" applyAlignment="1" applyProtection="1">
      <alignment horizontal="center" vertical="center"/>
      <protection/>
    </xf>
    <xf numFmtId="44" fontId="0" fillId="0" borderId="15" xfId="0" applyNumberFormat="1" applyBorder="1" applyAlignment="1" applyProtection="1">
      <alignment horizontal="center" vertical="center"/>
      <protection/>
    </xf>
    <xf numFmtId="0" fontId="51" fillId="0" borderId="0" xfId="0" applyFont="1" applyAlignment="1" applyProtection="1">
      <alignment/>
      <protection/>
    </xf>
    <xf numFmtId="0" fontId="55" fillId="0" borderId="0" xfId="0" applyFont="1" applyFill="1" applyAlignment="1" applyProtection="1">
      <alignment/>
      <protection/>
    </xf>
    <xf numFmtId="0" fontId="91" fillId="0" borderId="0" xfId="0" applyFont="1" applyFill="1" applyAlignment="1" applyProtection="1">
      <alignment horizontal="center"/>
      <protection/>
    </xf>
    <xf numFmtId="172" fontId="55" fillId="0" borderId="0" xfId="0" applyNumberFormat="1" applyFont="1" applyFill="1" applyAlignment="1" applyProtection="1">
      <alignment/>
      <protection/>
    </xf>
    <xf numFmtId="0" fontId="51" fillId="33" borderId="0" xfId="0" applyFont="1" applyFill="1" applyAlignment="1" applyProtection="1">
      <alignment/>
      <protection/>
    </xf>
    <xf numFmtId="0" fontId="55" fillId="34" borderId="0" xfId="0" applyFont="1" applyFill="1" applyAlignment="1" applyProtection="1">
      <alignment/>
      <protection/>
    </xf>
    <xf numFmtId="0" fontId="51" fillId="34" borderId="0" xfId="0" applyFont="1" applyFill="1" applyAlignment="1" applyProtection="1">
      <alignment/>
      <protection/>
    </xf>
    <xf numFmtId="4" fontId="55" fillId="0" borderId="0" xfId="0" applyNumberFormat="1" applyFont="1" applyFill="1" applyAlignment="1" applyProtection="1">
      <alignment/>
      <protection/>
    </xf>
    <xf numFmtId="10" fontId="56" fillId="0" borderId="0" xfId="0" applyNumberFormat="1" applyFont="1" applyFill="1" applyAlignment="1" applyProtection="1">
      <alignment/>
      <protection/>
    </xf>
    <xf numFmtId="0" fontId="51" fillId="0" borderId="0" xfId="0" applyFont="1" applyAlignment="1" applyProtection="1">
      <alignment horizontal="center"/>
      <protection/>
    </xf>
    <xf numFmtId="0" fontId="15" fillId="0" borderId="15" xfId="0" applyFont="1" applyBorder="1" applyAlignment="1" applyProtection="1">
      <alignment horizontal="left" vertical="center" wrapText="1"/>
      <protection/>
    </xf>
    <xf numFmtId="0" fontId="15" fillId="0" borderId="15" xfId="0" applyFont="1" applyBorder="1" applyAlignment="1" applyProtection="1">
      <alignment horizontal="center" vertical="center" wrapText="1"/>
      <protection/>
    </xf>
    <xf numFmtId="179" fontId="15" fillId="34" borderId="15" xfId="46" applyNumberFormat="1" applyFont="1" applyFill="1" applyBorder="1" applyAlignment="1" applyProtection="1">
      <alignment horizontal="center" vertical="center"/>
      <protection/>
    </xf>
    <xf numFmtId="44" fontId="15" fillId="0" borderId="15" xfId="46" applyFont="1" applyBorder="1" applyAlignment="1" applyProtection="1">
      <alignment vertical="center"/>
      <protection/>
    </xf>
    <xf numFmtId="44" fontId="0" fillId="0" borderId="0" xfId="0" applyNumberFormat="1" applyAlignment="1" applyProtection="1">
      <alignment/>
      <protection/>
    </xf>
    <xf numFmtId="179" fontId="15" fillId="0" borderId="15" xfId="46" applyNumberFormat="1" applyFont="1" applyFill="1" applyBorder="1" applyAlignment="1" applyProtection="1">
      <alignment horizontal="center" vertical="center"/>
      <protection/>
    </xf>
    <xf numFmtId="44" fontId="16" fillId="41" borderId="15" xfId="0" applyNumberFormat="1" applyFont="1" applyFill="1" applyBorder="1" applyAlignment="1" applyProtection="1">
      <alignment/>
      <protection/>
    </xf>
    <xf numFmtId="0" fontId="15" fillId="0" borderId="0" xfId="0" applyFont="1" applyAlignment="1" applyProtection="1">
      <alignment horizontal="center" vertical="center"/>
      <protection/>
    </xf>
    <xf numFmtId="0" fontId="15" fillId="0" borderId="0" xfId="0" applyFont="1" applyAlignment="1" applyProtection="1">
      <alignment wrapText="1"/>
      <protection/>
    </xf>
    <xf numFmtId="0" fontId="15" fillId="0" borderId="0" xfId="0" applyFont="1" applyAlignment="1" applyProtection="1">
      <alignment/>
      <protection/>
    </xf>
    <xf numFmtId="0" fontId="15" fillId="0" borderId="0" xfId="0" applyFont="1" applyAlignment="1" applyProtection="1">
      <alignment horizontal="left" vertical="center"/>
      <protection/>
    </xf>
    <xf numFmtId="0" fontId="15" fillId="34" borderId="15" xfId="0" applyFont="1" applyFill="1" applyBorder="1" applyAlignment="1" applyProtection="1">
      <alignment horizontal="center" vertical="center" wrapText="1"/>
      <protection/>
    </xf>
    <xf numFmtId="44" fontId="11" fillId="0" borderId="15" xfId="46" applyNumberFormat="1" applyFont="1" applyBorder="1" applyAlignment="1" applyProtection="1">
      <alignment/>
      <protection/>
    </xf>
    <xf numFmtId="0" fontId="16" fillId="0" borderId="0" xfId="0" applyFont="1" applyAlignment="1" applyProtection="1">
      <alignment horizontal="left" vertical="center"/>
      <protection/>
    </xf>
    <xf numFmtId="0" fontId="20" fillId="42" borderId="15" xfId="0" applyFont="1" applyFill="1" applyBorder="1" applyAlignment="1" applyProtection="1">
      <alignment horizontal="center" vertical="center" wrapText="1"/>
      <protection/>
    </xf>
    <xf numFmtId="0" fontId="21" fillId="0" borderId="15" xfId="0" applyFont="1" applyBorder="1" applyAlignment="1" applyProtection="1">
      <alignment horizontal="left" vertical="center" wrapText="1"/>
      <protection/>
    </xf>
    <xf numFmtId="0" fontId="21" fillId="34" borderId="15" xfId="0" applyFont="1" applyFill="1" applyBorder="1" applyAlignment="1" applyProtection="1">
      <alignment horizontal="center" vertical="center"/>
      <protection/>
    </xf>
    <xf numFmtId="0" fontId="21" fillId="34" borderId="15" xfId="0" applyFont="1" applyFill="1" applyBorder="1" applyAlignment="1" applyProtection="1">
      <alignment horizontal="center" vertical="center" wrapText="1"/>
      <protection/>
    </xf>
    <xf numFmtId="0" fontId="94" fillId="0" borderId="15" xfId="0" applyFont="1" applyBorder="1" applyAlignment="1" applyProtection="1">
      <alignment horizontal="left" vertical="center" wrapText="1"/>
      <protection/>
    </xf>
    <xf numFmtId="0" fontId="94" fillId="34" borderId="15" xfId="0" applyFont="1" applyFill="1" applyBorder="1" applyAlignment="1" applyProtection="1">
      <alignment horizontal="center" vertical="center" wrapText="1"/>
      <protection/>
    </xf>
    <xf numFmtId="0" fontId="94" fillId="0" borderId="15" xfId="0" applyFont="1" applyBorder="1" applyAlignment="1" applyProtection="1">
      <alignment horizontal="left" vertical="center"/>
      <protection/>
    </xf>
    <xf numFmtId="0" fontId="94" fillId="34" borderId="15" xfId="0" applyFont="1" applyFill="1" applyBorder="1" applyAlignment="1" applyProtection="1">
      <alignment horizontal="left" vertical="top" wrapText="1"/>
      <protection/>
    </xf>
    <xf numFmtId="0" fontId="21" fillId="34" borderId="16" xfId="0" applyFont="1" applyFill="1" applyBorder="1" applyAlignment="1" applyProtection="1">
      <alignment horizontal="center" vertical="center" wrapText="1"/>
      <protection/>
    </xf>
    <xf numFmtId="44" fontId="21" fillId="0" borderId="15" xfId="0" applyNumberFormat="1" applyFont="1" applyBorder="1" applyAlignment="1" applyProtection="1">
      <alignment/>
      <protection/>
    </xf>
    <xf numFmtId="179" fontId="21" fillId="0" borderId="15" xfId="0" applyNumberFormat="1" applyFont="1" applyBorder="1" applyAlignment="1" applyProtection="1">
      <alignment horizontal="center"/>
      <protection/>
    </xf>
    <xf numFmtId="44" fontId="20" fillId="0" borderId="15" xfId="0" applyNumberFormat="1" applyFont="1" applyBorder="1" applyAlignment="1" applyProtection="1">
      <alignment/>
      <protection/>
    </xf>
    <xf numFmtId="0" fontId="21" fillId="0" borderId="0" xfId="0" applyFont="1" applyBorder="1" applyAlignment="1" applyProtection="1">
      <alignment horizontal="center" vertical="center" wrapText="1"/>
      <protection/>
    </xf>
    <xf numFmtId="44" fontId="21" fillId="0" borderId="0" xfId="0" applyNumberFormat="1" applyFont="1" applyBorder="1" applyAlignment="1" applyProtection="1">
      <alignment/>
      <protection/>
    </xf>
    <xf numFmtId="0" fontId="90" fillId="41" borderId="15" xfId="0" applyFont="1" applyFill="1" applyBorder="1" applyAlignment="1" applyProtection="1">
      <alignment horizontal="center" vertical="center"/>
      <protection/>
    </xf>
    <xf numFmtId="0" fontId="90" fillId="41" borderId="15" xfId="0" applyFont="1" applyFill="1" applyBorder="1" applyAlignment="1" applyProtection="1">
      <alignment horizontal="center" vertical="center" wrapText="1"/>
      <protection/>
    </xf>
    <xf numFmtId="0" fontId="94" fillId="0" borderId="15" xfId="0" applyFont="1" applyBorder="1" applyAlignment="1" applyProtection="1">
      <alignment horizontal="center" vertical="center" wrapText="1"/>
      <protection/>
    </xf>
    <xf numFmtId="0" fontId="24" fillId="0" borderId="15" xfId="0" applyFont="1" applyBorder="1" applyAlignment="1" applyProtection="1">
      <alignment horizontal="center" vertical="center"/>
      <protection/>
    </xf>
    <xf numFmtId="0" fontId="24" fillId="34" borderId="15" xfId="0" applyFont="1" applyFill="1" applyBorder="1" applyAlignment="1" applyProtection="1">
      <alignment horizontal="center" vertical="center"/>
      <protection/>
    </xf>
    <xf numFmtId="0" fontId="24" fillId="0" borderId="15" xfId="0" applyFont="1" applyBorder="1" applyAlignment="1" applyProtection="1">
      <alignment horizontal="center" vertical="center" wrapText="1"/>
      <protection/>
    </xf>
    <xf numFmtId="44" fontId="24" fillId="0" borderId="0" xfId="0" applyNumberFormat="1" applyFont="1" applyBorder="1" applyAlignment="1" applyProtection="1">
      <alignment/>
      <protection/>
    </xf>
    <xf numFmtId="0" fontId="94" fillId="0" borderId="19" xfId="0" applyFont="1" applyBorder="1" applyAlignment="1" applyProtection="1">
      <alignment horizontal="center" vertical="center" wrapText="1"/>
      <protection/>
    </xf>
    <xf numFmtId="0" fontId="24" fillId="0" borderId="19" xfId="0" applyFont="1" applyBorder="1" applyAlignment="1" applyProtection="1">
      <alignment horizontal="center" vertical="center"/>
      <protection/>
    </xf>
    <xf numFmtId="0" fontId="24" fillId="34" borderId="20" xfId="0" applyFont="1" applyFill="1" applyBorder="1" applyAlignment="1" applyProtection="1">
      <alignment horizontal="center" vertical="center"/>
      <protection/>
    </xf>
    <xf numFmtId="44" fontId="24" fillId="34" borderId="19" xfId="46" applyNumberFormat="1" applyFont="1" applyFill="1" applyBorder="1" applyAlignment="1" applyProtection="1">
      <alignment horizontal="center" vertical="center"/>
      <protection/>
    </xf>
    <xf numFmtId="0" fontId="94" fillId="0" borderId="15" xfId="0" applyFont="1" applyBorder="1" applyAlignment="1" applyProtection="1">
      <alignment horizontal="center" vertical="center"/>
      <protection/>
    </xf>
    <xf numFmtId="0" fontId="24" fillId="34" borderId="11" xfId="0" applyFont="1" applyFill="1" applyBorder="1" applyAlignment="1" applyProtection="1">
      <alignment horizontal="center" vertical="center"/>
      <protection/>
    </xf>
    <xf numFmtId="0" fontId="20" fillId="0" borderId="0" xfId="0" applyFont="1" applyBorder="1" applyAlignment="1" applyProtection="1">
      <alignment horizontal="center" vertical="center"/>
      <protection/>
    </xf>
    <xf numFmtId="44" fontId="20" fillId="0" borderId="0" xfId="0" applyNumberFormat="1" applyFont="1" applyBorder="1" applyAlignment="1" applyProtection="1">
      <alignment horizontal="center" vertical="center"/>
      <protection/>
    </xf>
    <xf numFmtId="0" fontId="15" fillId="34" borderId="15" xfId="0" applyFont="1" applyFill="1" applyBorder="1" applyAlignment="1" applyProtection="1">
      <alignment horizontal="center" vertical="center"/>
      <protection/>
    </xf>
    <xf numFmtId="0" fontId="15" fillId="34" borderId="19" xfId="0" applyFont="1" applyFill="1" applyBorder="1" applyAlignment="1" applyProtection="1">
      <alignment horizontal="center" vertical="center"/>
      <protection/>
    </xf>
    <xf numFmtId="0" fontId="15" fillId="0" borderId="19" xfId="0" applyFont="1" applyBorder="1" applyAlignment="1" applyProtection="1">
      <alignment horizontal="center" vertical="center"/>
      <protection/>
    </xf>
    <xf numFmtId="0" fontId="0" fillId="0" borderId="0" xfId="0" applyAlignment="1" applyProtection="1">
      <alignment horizontal="center" vertical="center"/>
      <protection/>
    </xf>
    <xf numFmtId="0" fontId="53" fillId="0" borderId="0" xfId="0" applyFont="1" applyAlignment="1" applyProtection="1">
      <alignment/>
      <protection/>
    </xf>
    <xf numFmtId="44" fontId="8" fillId="0" borderId="15" xfId="46" applyFont="1" applyBorder="1" applyAlignment="1" applyProtection="1">
      <alignment horizontal="center" vertical="center"/>
      <protection/>
    </xf>
    <xf numFmtId="0" fontId="94" fillId="0" borderId="11" xfId="0" applyFont="1" applyBorder="1" applyAlignment="1" applyProtection="1">
      <alignment horizontal="center" vertical="center" wrapText="1"/>
      <protection/>
    </xf>
    <xf numFmtId="0" fontId="94" fillId="34" borderId="11" xfId="0" applyFont="1" applyFill="1" applyBorder="1" applyAlignment="1" applyProtection="1">
      <alignment horizontal="center" vertical="center" wrapText="1"/>
      <protection/>
    </xf>
    <xf numFmtId="0" fontId="94" fillId="0" borderId="18" xfId="0" applyFont="1" applyBorder="1" applyAlignment="1" applyProtection="1">
      <alignment horizontal="center" vertical="center" wrapText="1"/>
      <protection/>
    </xf>
    <xf numFmtId="0" fontId="94" fillId="0" borderId="20" xfId="0" applyFont="1" applyBorder="1" applyAlignment="1" applyProtection="1">
      <alignment horizontal="center" vertical="center" wrapText="1"/>
      <protection/>
    </xf>
    <xf numFmtId="0" fontId="94" fillId="0" borderId="11" xfId="0" applyFont="1" applyBorder="1" applyAlignment="1" applyProtection="1">
      <alignment horizontal="center" vertical="center"/>
      <protection/>
    </xf>
    <xf numFmtId="0" fontId="15" fillId="0" borderId="15" xfId="0" applyFont="1" applyBorder="1" applyAlignment="1" applyProtection="1">
      <alignment horizontal="center" vertical="center"/>
      <protection/>
    </xf>
    <xf numFmtId="0" fontId="0" fillId="0" borderId="15" xfId="0" applyBorder="1" applyAlignment="1" applyProtection="1">
      <alignment horizontal="center"/>
      <protection/>
    </xf>
    <xf numFmtId="10" fontId="11" fillId="0" borderId="15" xfId="72" applyNumberFormat="1"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10" fontId="11" fillId="0" borderId="0" xfId="72" applyNumberFormat="1" applyFont="1" applyBorder="1" applyAlignment="1" applyProtection="1">
      <alignment horizontal="center" vertical="center"/>
      <protection/>
    </xf>
    <xf numFmtId="44" fontId="20" fillId="41" borderId="15" xfId="0" applyNumberFormat="1" applyFont="1" applyFill="1" applyBorder="1" applyAlignment="1" applyProtection="1">
      <alignment/>
      <protection/>
    </xf>
    <xf numFmtId="44" fontId="11" fillId="41" borderId="15" xfId="46" applyNumberFormat="1" applyFont="1" applyFill="1" applyBorder="1" applyAlignment="1" applyProtection="1">
      <alignment/>
      <protection/>
    </xf>
    <xf numFmtId="171" fontId="56" fillId="34" borderId="11" xfId="0" applyNumberFormat="1" applyFont="1" applyFill="1" applyBorder="1" applyAlignment="1" applyProtection="1">
      <alignment vertical="center"/>
      <protection/>
    </xf>
    <xf numFmtId="171" fontId="56" fillId="34" borderId="12" xfId="0" applyNumberFormat="1" applyFont="1" applyFill="1" applyBorder="1" applyAlignment="1" applyProtection="1">
      <alignment vertical="center"/>
      <protection/>
    </xf>
    <xf numFmtId="171" fontId="56" fillId="34" borderId="13" xfId="0" applyNumberFormat="1" applyFont="1" applyFill="1" applyBorder="1" applyAlignment="1" applyProtection="1">
      <alignment vertical="center"/>
      <protection/>
    </xf>
    <xf numFmtId="171" fontId="56" fillId="34" borderId="20" xfId="0" applyNumberFormat="1" applyFont="1" applyFill="1" applyBorder="1" applyAlignment="1" applyProtection="1">
      <alignment vertical="center"/>
      <protection/>
    </xf>
    <xf numFmtId="171" fontId="56" fillId="34" borderId="17" xfId="0" applyNumberFormat="1" applyFont="1" applyFill="1" applyBorder="1" applyAlignment="1" applyProtection="1">
      <alignment vertical="center"/>
      <protection/>
    </xf>
    <xf numFmtId="171" fontId="56" fillId="34" borderId="21" xfId="0" applyNumberFormat="1" applyFont="1" applyFill="1" applyBorder="1" applyAlignment="1" applyProtection="1">
      <alignment vertical="center"/>
      <protection/>
    </xf>
    <xf numFmtId="0" fontId="0" fillId="0" borderId="0" xfId="0" applyFont="1" applyBorder="1" applyAlignment="1" applyProtection="1">
      <alignment horizontal="left" vertical="center"/>
      <protection/>
    </xf>
    <xf numFmtId="44" fontId="8" fillId="34" borderId="15" xfId="46" applyFont="1" applyFill="1" applyBorder="1" applyAlignment="1" applyProtection="1">
      <alignment horizontal="center" vertical="center"/>
      <protection/>
    </xf>
    <xf numFmtId="44" fontId="8" fillId="41" borderId="19" xfId="46" applyFont="1" applyFill="1" applyBorder="1" applyAlignment="1" applyProtection="1">
      <alignment horizontal="center" vertical="center"/>
      <protection/>
    </xf>
    <xf numFmtId="0" fontId="53" fillId="0" borderId="13" xfId="0" applyFont="1" applyBorder="1" applyAlignment="1" applyProtection="1">
      <alignment horizontal="center" vertical="center"/>
      <protection/>
    </xf>
    <xf numFmtId="10" fontId="8" fillId="34" borderId="15" xfId="46" applyNumberFormat="1" applyFont="1" applyFill="1" applyBorder="1" applyAlignment="1" applyProtection="1">
      <alignment horizontal="center" vertical="center"/>
      <protection/>
    </xf>
    <xf numFmtId="0" fontId="92" fillId="34" borderId="0" xfId="0" applyFont="1" applyFill="1" applyAlignment="1" applyProtection="1">
      <alignment/>
      <protection/>
    </xf>
    <xf numFmtId="0" fontId="53" fillId="0" borderId="15" xfId="0" applyFont="1" applyBorder="1" applyAlignment="1" applyProtection="1">
      <alignment horizontal="center" vertical="center" wrapText="1"/>
      <protection/>
    </xf>
    <xf numFmtId="10" fontId="53" fillId="0" borderId="15" xfId="0" applyNumberFormat="1" applyFont="1" applyBorder="1" applyAlignment="1" applyProtection="1">
      <alignment horizontal="center" vertical="center" wrapText="1"/>
      <protection/>
    </xf>
    <xf numFmtId="44" fontId="8" fillId="41" borderId="15" xfId="46" applyFont="1" applyFill="1" applyBorder="1" applyAlignment="1" applyProtection="1">
      <alignment horizontal="center" vertical="center"/>
      <protection/>
    </xf>
    <xf numFmtId="44" fontId="5" fillId="42" borderId="15" xfId="46" applyFont="1" applyFill="1" applyBorder="1" applyAlignment="1" applyProtection="1">
      <alignment/>
      <protection/>
    </xf>
    <xf numFmtId="10" fontId="8" fillId="0" borderId="15" xfId="46" applyNumberFormat="1" applyFont="1" applyBorder="1" applyAlignment="1" applyProtection="1">
      <alignment horizontal="center" vertical="center"/>
      <protection/>
    </xf>
    <xf numFmtId="10" fontId="8" fillId="0" borderId="15" xfId="72" applyNumberFormat="1" applyFont="1" applyBorder="1" applyAlignment="1" applyProtection="1">
      <alignment horizontal="center" vertical="center"/>
      <protection/>
    </xf>
    <xf numFmtId="44" fontId="92" fillId="34" borderId="0" xfId="0" applyNumberFormat="1" applyFont="1" applyFill="1" applyAlignment="1" applyProtection="1">
      <alignment/>
      <protection/>
    </xf>
    <xf numFmtId="44" fontId="53" fillId="0" borderId="0" xfId="0" applyNumberFormat="1" applyFont="1" applyAlignment="1" applyProtection="1">
      <alignment/>
      <protection/>
    </xf>
    <xf numFmtId="0" fontId="3" fillId="41" borderId="15" xfId="0" applyFont="1" applyFill="1" applyBorder="1" applyAlignment="1" applyProtection="1">
      <alignment horizontal="center" vertical="center" wrapText="1"/>
      <protection/>
    </xf>
    <xf numFmtId="0" fontId="94" fillId="0" borderId="15" xfId="0" applyFont="1" applyFill="1" applyBorder="1" applyAlignment="1" applyProtection="1">
      <alignment horizontal="center" vertical="center" wrapText="1"/>
      <protection/>
    </xf>
    <xf numFmtId="0" fontId="95" fillId="0" borderId="0" xfId="0" applyFont="1" applyAlignment="1" applyProtection="1">
      <alignment horizontal="center" vertical="center"/>
      <protection/>
    </xf>
    <xf numFmtId="0" fontId="95" fillId="0" borderId="0" xfId="0" applyFont="1" applyAlignment="1" applyProtection="1">
      <alignment horizontal="center"/>
      <protection/>
    </xf>
    <xf numFmtId="0" fontId="95" fillId="0" borderId="0" xfId="0" applyFont="1" applyAlignment="1" applyProtection="1">
      <alignment/>
      <protection/>
    </xf>
    <xf numFmtId="0" fontId="96" fillId="41" borderId="15" xfId="0" applyFont="1" applyFill="1" applyBorder="1" applyAlignment="1" applyProtection="1">
      <alignment horizontal="center" vertical="center"/>
      <protection/>
    </xf>
    <xf numFmtId="0" fontId="96" fillId="41" borderId="15" xfId="0" applyFont="1" applyFill="1" applyBorder="1" applyAlignment="1" applyProtection="1">
      <alignment horizontal="center" vertical="center" wrapText="1"/>
      <protection/>
    </xf>
    <xf numFmtId="0" fontId="95" fillId="0" borderId="15" xfId="0" applyFont="1" applyBorder="1" applyAlignment="1" applyProtection="1">
      <alignment horizontal="center" vertical="center"/>
      <protection/>
    </xf>
    <xf numFmtId="3" fontId="95" fillId="0" borderId="15" xfId="0" applyNumberFormat="1" applyFont="1" applyBorder="1" applyAlignment="1" applyProtection="1">
      <alignment horizontal="center" vertical="center"/>
      <protection/>
    </xf>
    <xf numFmtId="0" fontId="95" fillId="0" borderId="15" xfId="0" applyFont="1" applyBorder="1" applyAlignment="1" applyProtection="1">
      <alignment horizontal="center" vertical="center" wrapText="1"/>
      <protection/>
    </xf>
    <xf numFmtId="0" fontId="96" fillId="0" borderId="0" xfId="0" applyFont="1" applyAlignment="1" applyProtection="1">
      <alignment horizontal="center" vertical="center"/>
      <protection/>
    </xf>
    <xf numFmtId="0" fontId="94" fillId="0" borderId="19" xfId="0" applyFont="1" applyFill="1" applyBorder="1" applyAlignment="1" applyProtection="1">
      <alignment horizontal="center" vertical="center"/>
      <protection/>
    </xf>
    <xf numFmtId="165" fontId="91" fillId="0" borderId="0" xfId="0" applyNumberFormat="1" applyFont="1" applyFill="1" applyAlignment="1" applyProtection="1">
      <alignment/>
      <protection/>
    </xf>
    <xf numFmtId="0" fontId="91" fillId="0" borderId="0" xfId="0" applyFont="1" applyFill="1" applyAlignment="1" applyProtection="1">
      <alignment/>
      <protection/>
    </xf>
    <xf numFmtId="165" fontId="8" fillId="43" borderId="15" xfId="0" applyNumberFormat="1" applyFont="1" applyFill="1" applyBorder="1" applyAlignment="1" applyProtection="1">
      <alignment horizontal="center" vertical="center" wrapText="1"/>
      <protection/>
    </xf>
    <xf numFmtId="1" fontId="53" fillId="43" borderId="15" xfId="0" applyNumberFormat="1" applyFont="1" applyFill="1" applyBorder="1" applyAlignment="1" applyProtection="1">
      <alignment horizontal="center" vertical="center"/>
      <protection/>
    </xf>
    <xf numFmtId="1" fontId="53" fillId="43" borderId="15" xfId="0" applyNumberFormat="1" applyFont="1" applyFill="1" applyBorder="1" applyAlignment="1" applyProtection="1">
      <alignment horizontal="center" vertical="center" wrapText="1"/>
      <protection/>
    </xf>
    <xf numFmtId="0" fontId="53" fillId="43" borderId="15" xfId="0" applyFont="1" applyFill="1" applyBorder="1" applyAlignment="1" applyProtection="1">
      <alignment horizontal="center" vertical="center"/>
      <protection/>
    </xf>
    <xf numFmtId="165" fontId="3" fillId="36" borderId="15" xfId="0" applyNumberFormat="1"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protection/>
    </xf>
    <xf numFmtId="165" fontId="3" fillId="37" borderId="15" xfId="0" applyNumberFormat="1" applyFont="1" applyFill="1" applyBorder="1" applyAlignment="1" applyProtection="1">
      <alignment horizontal="center" vertical="center"/>
      <protection/>
    </xf>
    <xf numFmtId="0" fontId="3" fillId="13" borderId="15" xfId="0" applyFont="1" applyFill="1" applyBorder="1" applyAlignment="1" applyProtection="1">
      <alignment horizontal="center" vertical="center"/>
      <protection/>
    </xf>
    <xf numFmtId="167" fontId="3" fillId="36" borderId="15" xfId="0" applyNumberFormat="1" applyFont="1" applyFill="1" applyBorder="1" applyAlignment="1" applyProtection="1">
      <alignment horizontal="center" vertical="center"/>
      <protection/>
    </xf>
    <xf numFmtId="49" fontId="53" fillId="0" borderId="15" xfId="0" applyNumberFormat="1" applyFont="1" applyBorder="1" applyAlignment="1" applyProtection="1">
      <alignment horizontal="center" vertical="center"/>
      <protection/>
    </xf>
    <xf numFmtId="165" fontId="53" fillId="38" borderId="15" xfId="0" applyNumberFormat="1" applyFont="1" applyFill="1" applyBorder="1" applyAlignment="1" applyProtection="1">
      <alignment horizontal="center" vertical="center"/>
      <protection/>
    </xf>
    <xf numFmtId="165" fontId="54" fillId="39" borderId="15" xfId="0" applyNumberFormat="1" applyFont="1" applyFill="1" applyBorder="1" applyAlignment="1" applyProtection="1">
      <alignment horizontal="center" vertical="center"/>
      <protection/>
    </xf>
    <xf numFmtId="165" fontId="53" fillId="43" borderId="15" xfId="0" applyNumberFormat="1" applyFont="1" applyFill="1" applyBorder="1" applyAlignment="1" applyProtection="1">
      <alignment horizontal="center" vertical="center" wrapText="1"/>
      <protection/>
    </xf>
    <xf numFmtId="165" fontId="3" fillId="44" borderId="15" xfId="0" applyNumberFormat="1" applyFont="1" applyFill="1" applyBorder="1" applyAlignment="1" applyProtection="1">
      <alignment horizontal="center" vertical="center"/>
      <protection/>
    </xf>
    <xf numFmtId="165" fontId="3" fillId="0" borderId="15" xfId="0" applyNumberFormat="1" applyFont="1" applyBorder="1" applyAlignment="1" applyProtection="1">
      <alignment horizontal="center" vertical="center"/>
      <protection/>
    </xf>
    <xf numFmtId="165" fontId="3" fillId="7" borderId="15" xfId="0" applyNumberFormat="1" applyFont="1" applyFill="1" applyBorder="1" applyAlignment="1" applyProtection="1">
      <alignment horizontal="center" vertical="center"/>
      <protection/>
    </xf>
    <xf numFmtId="0" fontId="3" fillId="37" borderId="15" xfId="0" applyFont="1" applyFill="1" applyBorder="1" applyAlignment="1" applyProtection="1">
      <alignment horizontal="center" vertical="center" wrapText="1"/>
      <protection/>
    </xf>
    <xf numFmtId="172" fontId="53" fillId="0" borderId="15" xfId="0" applyNumberFormat="1" applyFont="1" applyBorder="1" applyAlignment="1" applyProtection="1">
      <alignment horizontal="center" vertical="center"/>
      <protection/>
    </xf>
    <xf numFmtId="1" fontId="3" fillId="0" borderId="15" xfId="0" applyNumberFormat="1" applyFont="1" applyBorder="1" applyAlignment="1" applyProtection="1">
      <alignment horizontal="center" vertical="center"/>
      <protection/>
    </xf>
    <xf numFmtId="165" fontId="3" fillId="34" borderId="15" xfId="0" applyNumberFormat="1" applyFont="1" applyFill="1" applyBorder="1" applyAlignment="1" applyProtection="1">
      <alignment horizontal="center" vertical="center"/>
      <protection/>
    </xf>
    <xf numFmtId="0" fontId="53" fillId="45" borderId="15" xfId="0" applyFont="1" applyFill="1" applyBorder="1" applyAlignment="1" applyProtection="1">
      <alignment horizontal="center" vertical="center" wrapText="1"/>
      <protection locked="0"/>
    </xf>
    <xf numFmtId="49" fontId="53" fillId="45" borderId="15" xfId="0" applyNumberFormat="1" applyFont="1" applyFill="1" applyBorder="1" applyAlignment="1" applyProtection="1">
      <alignment horizontal="center" vertical="center" wrapText="1"/>
      <protection locked="0"/>
    </xf>
    <xf numFmtId="14" fontId="53" fillId="45" borderId="15" xfId="0" applyNumberFormat="1" applyFont="1" applyFill="1" applyBorder="1" applyAlignment="1" applyProtection="1">
      <alignment horizontal="center" vertical="center"/>
      <protection locked="0"/>
    </xf>
    <xf numFmtId="1" fontId="93" fillId="45" borderId="15" xfId="0" applyNumberFormat="1" applyFont="1" applyFill="1" applyBorder="1" applyAlignment="1" applyProtection="1">
      <alignment horizontal="center" vertical="center"/>
      <protection locked="0"/>
    </xf>
    <xf numFmtId="172" fontId="53" fillId="46" borderId="15" xfId="0" applyNumberFormat="1" applyFont="1" applyFill="1" applyBorder="1" applyAlignment="1" applyProtection="1">
      <alignment horizontal="center" vertical="center"/>
      <protection locked="0"/>
    </xf>
    <xf numFmtId="0" fontId="97" fillId="42" borderId="15" xfId="0" applyFont="1" applyFill="1" applyBorder="1" applyAlignment="1" applyProtection="1">
      <alignment horizontal="center" vertical="center"/>
      <protection/>
    </xf>
    <xf numFmtId="0" fontId="97" fillId="42" borderId="15" xfId="0" applyFont="1" applyFill="1" applyBorder="1" applyAlignment="1" applyProtection="1">
      <alignment horizontal="center" vertical="center" wrapText="1"/>
      <protection/>
    </xf>
    <xf numFmtId="0" fontId="98" fillId="42" borderId="15" xfId="0" applyFont="1" applyFill="1" applyBorder="1" applyAlignment="1" applyProtection="1">
      <alignment horizontal="center" vertical="center" wrapText="1"/>
      <protection/>
    </xf>
    <xf numFmtId="0" fontId="99" fillId="0" borderId="15" xfId="0" applyFont="1" applyBorder="1" applyAlignment="1" applyProtection="1">
      <alignment horizontal="center"/>
      <protection/>
    </xf>
    <xf numFmtId="44" fontId="0" fillId="34" borderId="15" xfId="46" applyFont="1" applyFill="1" applyBorder="1" applyAlignment="1" applyProtection="1">
      <alignment horizontal="center"/>
      <protection/>
    </xf>
    <xf numFmtId="0" fontId="0" fillId="0" borderId="15" xfId="0" applyBorder="1" applyAlignment="1" applyProtection="1">
      <alignment/>
      <protection/>
    </xf>
    <xf numFmtId="0" fontId="94" fillId="0" borderId="15" xfId="0" applyFont="1" applyBorder="1" applyAlignment="1" applyProtection="1">
      <alignment horizontal="center"/>
      <protection/>
    </xf>
    <xf numFmtId="0" fontId="98" fillId="41" borderId="15" xfId="0" applyFont="1" applyFill="1" applyBorder="1" applyAlignment="1" applyProtection="1">
      <alignment horizontal="center" vertical="center"/>
      <protection/>
    </xf>
    <xf numFmtId="0" fontId="98" fillId="41" borderId="15" xfId="0" applyFont="1" applyFill="1" applyBorder="1" applyAlignment="1" applyProtection="1">
      <alignment horizontal="center" vertical="center" wrapText="1"/>
      <protection/>
    </xf>
    <xf numFmtId="0" fontId="94" fillId="0" borderId="15" xfId="0" applyFont="1" applyBorder="1" applyAlignment="1" applyProtection="1">
      <alignment horizontal="center" wrapText="1"/>
      <protection/>
    </xf>
    <xf numFmtId="44" fontId="7" fillId="41" borderId="15" xfId="46" applyFont="1" applyFill="1" applyBorder="1" applyAlignment="1" applyProtection="1">
      <alignment horizontal="center" vertical="center"/>
      <protection/>
    </xf>
    <xf numFmtId="44" fontId="0" fillId="40" borderId="15" xfId="46" applyFont="1" applyFill="1" applyBorder="1" applyAlignment="1" applyProtection="1">
      <alignment horizontal="center"/>
      <protection locked="0"/>
    </xf>
    <xf numFmtId="10" fontId="1" fillId="40" borderId="15" xfId="72" applyNumberFormat="1" applyFill="1" applyBorder="1" applyAlignment="1" applyProtection="1">
      <alignment horizontal="center" vertical="center"/>
      <protection locked="0"/>
    </xf>
    <xf numFmtId="0" fontId="21" fillId="0" borderId="19" xfId="0" applyFont="1" applyBorder="1" applyAlignment="1" applyProtection="1">
      <alignment horizontal="center" vertical="center"/>
      <protection/>
    </xf>
    <xf numFmtId="0" fontId="53" fillId="0" borderId="19" xfId="0" applyFont="1" applyBorder="1" applyAlignment="1" applyProtection="1">
      <alignment horizontal="center" vertical="center"/>
      <protection/>
    </xf>
    <xf numFmtId="3" fontId="16" fillId="41" borderId="16" xfId="64" applyNumberFormat="1" applyFont="1" applyFill="1" applyBorder="1" applyAlignment="1" applyProtection="1">
      <alignment horizontal="center" vertical="center" wrapText="1"/>
      <protection/>
    </xf>
    <xf numFmtId="0" fontId="70" fillId="0" borderId="15" xfId="0" applyFont="1" applyBorder="1" applyAlignment="1" applyProtection="1">
      <alignment horizontal="center" vertical="center" wrapText="1"/>
      <protection/>
    </xf>
    <xf numFmtId="0" fontId="15" fillId="0" borderId="0" xfId="0" applyFont="1" applyFill="1" applyAlignment="1" applyProtection="1">
      <alignment/>
      <protection/>
    </xf>
    <xf numFmtId="0" fontId="0" fillId="0" borderId="0" xfId="0" applyFill="1" applyAlignment="1" applyProtection="1">
      <alignment/>
      <protection/>
    </xf>
    <xf numFmtId="44" fontId="27" fillId="34" borderId="15" xfId="46" applyFont="1" applyFill="1" applyBorder="1" applyAlignment="1" applyProtection="1">
      <alignment horizontal="center" vertical="center"/>
      <protection/>
    </xf>
    <xf numFmtId="44" fontId="21" fillId="0" borderId="15" xfId="46" applyFont="1" applyFill="1" applyBorder="1" applyAlignment="1" applyProtection="1">
      <alignment vertical="center" wrapText="1"/>
      <protection/>
    </xf>
    <xf numFmtId="44" fontId="21" fillId="34" borderId="15" xfId="46" applyFont="1" applyFill="1" applyBorder="1" applyAlignment="1" applyProtection="1">
      <alignment vertical="center" wrapText="1"/>
      <protection/>
    </xf>
    <xf numFmtId="0" fontId="21" fillId="0" borderId="15" xfId="0" applyFont="1" applyBorder="1" applyAlignment="1" applyProtection="1">
      <alignment wrapText="1"/>
      <protection/>
    </xf>
    <xf numFmtId="44" fontId="21" fillId="0" borderId="15" xfId="46" applyFont="1" applyBorder="1" applyAlignment="1" applyProtection="1">
      <alignment horizontal="center" vertical="center"/>
      <protection/>
    </xf>
    <xf numFmtId="0" fontId="94" fillId="34" borderId="19" xfId="0" applyFont="1" applyFill="1" applyBorder="1" applyAlignment="1" applyProtection="1">
      <alignment horizontal="left" vertical="top" wrapText="1"/>
      <protection/>
    </xf>
    <xf numFmtId="0" fontId="94" fillId="34" borderId="19" xfId="0" applyFont="1" applyFill="1" applyBorder="1" applyAlignment="1" applyProtection="1">
      <alignment horizontal="center" vertical="center" wrapText="1"/>
      <protection/>
    </xf>
    <xf numFmtId="0" fontId="21" fillId="0" borderId="19" xfId="0" applyFont="1" applyBorder="1" applyAlignment="1" applyProtection="1">
      <alignment horizontal="left" vertical="center" wrapText="1"/>
      <protection/>
    </xf>
    <xf numFmtId="0" fontId="21" fillId="0" borderId="15" xfId="0" applyFont="1" applyFill="1" applyBorder="1" applyAlignment="1" applyProtection="1">
      <alignment horizontal="left" vertical="center" wrapText="1"/>
      <protection/>
    </xf>
    <xf numFmtId="0" fontId="21" fillId="0" borderId="16" xfId="0" applyFont="1" applyBorder="1" applyAlignment="1" applyProtection="1">
      <alignment horizontal="left" vertical="center" wrapText="1"/>
      <protection/>
    </xf>
    <xf numFmtId="0" fontId="21" fillId="34" borderId="16" xfId="0" applyFont="1" applyFill="1" applyBorder="1" applyAlignment="1" applyProtection="1">
      <alignment horizontal="center" vertical="center"/>
      <protection/>
    </xf>
    <xf numFmtId="0" fontId="94" fillId="0" borderId="16" xfId="0" applyFont="1" applyBorder="1" applyAlignment="1" applyProtection="1">
      <alignment horizontal="left" vertical="center"/>
      <protection/>
    </xf>
    <xf numFmtId="0" fontId="0" fillId="0" borderId="0" xfId="0" applyFont="1" applyAlignment="1" applyProtection="1">
      <alignment/>
      <protection/>
    </xf>
    <xf numFmtId="164" fontId="24" fillId="34" borderId="15" xfId="46" applyNumberFormat="1" applyFont="1" applyFill="1" applyBorder="1" applyAlignment="1" applyProtection="1">
      <alignment horizontal="center" vertical="center"/>
      <protection/>
    </xf>
    <xf numFmtId="0" fontId="21" fillId="0" borderId="15" xfId="0" applyFont="1" applyBorder="1" applyAlignment="1" applyProtection="1">
      <alignment horizontal="center" vertical="center"/>
      <protection/>
    </xf>
    <xf numFmtId="164" fontId="21" fillId="34" borderId="15" xfId="46" applyNumberFormat="1" applyFont="1" applyFill="1" applyBorder="1" applyAlignment="1" applyProtection="1">
      <alignment horizontal="center" vertical="center"/>
      <protection/>
    </xf>
    <xf numFmtId="0" fontId="15" fillId="0" borderId="0" xfId="0" applyFont="1" applyAlignment="1" applyProtection="1">
      <alignment/>
      <protection/>
    </xf>
    <xf numFmtId="0" fontId="100" fillId="0" borderId="15" xfId="0" applyFont="1" applyBorder="1" applyAlignment="1" applyProtection="1">
      <alignment horizontal="center" vertical="center"/>
      <protection/>
    </xf>
    <xf numFmtId="0" fontId="94" fillId="34" borderId="15" xfId="0" applyFont="1" applyFill="1" applyBorder="1" applyAlignment="1" applyProtection="1">
      <alignment horizontal="left" vertical="center" wrapText="1"/>
      <protection/>
    </xf>
    <xf numFmtId="0" fontId="94" fillId="0" borderId="16" xfId="0" applyFont="1" applyBorder="1" applyAlignment="1" applyProtection="1">
      <alignment horizontal="left" vertical="center" wrapText="1"/>
      <protection/>
    </xf>
    <xf numFmtId="0" fontId="100" fillId="0" borderId="11" xfId="0" applyFont="1" applyBorder="1" applyAlignment="1" applyProtection="1">
      <alignment horizontal="center" vertical="center" wrapText="1"/>
      <protection/>
    </xf>
    <xf numFmtId="0" fontId="94" fillId="0" borderId="15" xfId="0" applyFont="1" applyFill="1" applyBorder="1" applyAlignment="1" applyProtection="1">
      <alignment horizontal="left" vertical="center" wrapText="1"/>
      <protection/>
    </xf>
    <xf numFmtId="0" fontId="24" fillId="0" borderId="15" xfId="0" applyFont="1" applyFill="1" applyBorder="1" applyAlignment="1" applyProtection="1">
      <alignment horizontal="center" vertical="center"/>
      <protection/>
    </xf>
    <xf numFmtId="0" fontId="94" fillId="0" borderId="11" xfId="0" applyFont="1" applyFill="1" applyBorder="1" applyAlignment="1" applyProtection="1">
      <alignment horizontal="center" vertical="center" wrapText="1"/>
      <protection/>
    </xf>
    <xf numFmtId="164" fontId="24" fillId="0" borderId="15" xfId="46" applyNumberFormat="1" applyFont="1" applyFill="1" applyBorder="1" applyAlignment="1" applyProtection="1">
      <alignment horizontal="center" vertical="center"/>
      <protection/>
    </xf>
    <xf numFmtId="164" fontId="24" fillId="34" borderId="19" xfId="46" applyNumberFormat="1" applyFont="1" applyFill="1" applyBorder="1" applyAlignment="1" applyProtection="1">
      <alignment horizontal="center" vertical="center"/>
      <protection/>
    </xf>
    <xf numFmtId="0" fontId="94" fillId="0" borderId="19" xfId="0" applyFont="1" applyBorder="1" applyAlignment="1" applyProtection="1">
      <alignment horizontal="left" vertical="center" wrapText="1"/>
      <protection/>
    </xf>
    <xf numFmtId="0" fontId="0" fillId="0" borderId="0" xfId="0" applyAlignment="1" applyProtection="1">
      <alignment vertical="center"/>
      <protection/>
    </xf>
    <xf numFmtId="0" fontId="24" fillId="0" borderId="0" xfId="0" applyFont="1" applyAlignment="1" applyProtection="1">
      <alignment/>
      <protection/>
    </xf>
    <xf numFmtId="0" fontId="98" fillId="41" borderId="11" xfId="0" applyFont="1" applyFill="1" applyBorder="1" applyAlignment="1" applyProtection="1">
      <alignment horizontal="center" vertical="center" wrapText="1"/>
      <protection/>
    </xf>
    <xf numFmtId="0" fontId="94" fillId="0" borderId="19" xfId="0" applyFont="1" applyBorder="1" applyAlignment="1" applyProtection="1">
      <alignment horizontal="justify" vertical="center" wrapText="1"/>
      <protection/>
    </xf>
    <xf numFmtId="44" fontId="24" fillId="0" borderId="0" xfId="0" applyNumberFormat="1" applyFont="1" applyAlignment="1" applyProtection="1">
      <alignment/>
      <protection/>
    </xf>
    <xf numFmtId="0" fontId="94" fillId="0" borderId="19" xfId="0" applyFont="1" applyFill="1" applyBorder="1" applyAlignment="1" applyProtection="1">
      <alignment horizontal="justify" vertical="center" wrapText="1"/>
      <protection/>
    </xf>
    <xf numFmtId="0" fontId="94" fillId="0" borderId="19" xfId="0" applyFont="1" applyFill="1" applyBorder="1" applyAlignment="1" applyProtection="1">
      <alignment horizontal="center" vertical="center" wrapText="1"/>
      <protection/>
    </xf>
    <xf numFmtId="0" fontId="24" fillId="0" borderId="19" xfId="0" applyFont="1" applyFill="1" applyBorder="1" applyAlignment="1" applyProtection="1">
      <alignment horizontal="center" vertical="center"/>
      <protection/>
    </xf>
    <xf numFmtId="0" fontId="24" fillId="0" borderId="20" xfId="0" applyFont="1" applyFill="1" applyBorder="1" applyAlignment="1" applyProtection="1">
      <alignment horizontal="center" vertical="center"/>
      <protection/>
    </xf>
    <xf numFmtId="0" fontId="94" fillId="0" borderId="20" xfId="0" applyFont="1" applyFill="1" applyBorder="1" applyAlignment="1" applyProtection="1">
      <alignment horizontal="center" vertical="center" wrapText="1"/>
      <protection/>
    </xf>
    <xf numFmtId="0" fontId="24" fillId="0" borderId="0" xfId="0" applyFont="1" applyFill="1" applyAlignment="1" applyProtection="1">
      <alignment/>
      <protection/>
    </xf>
    <xf numFmtId="44" fontId="24" fillId="0" borderId="0" xfId="0" applyNumberFormat="1" applyFont="1" applyFill="1" applyAlignment="1" applyProtection="1">
      <alignment/>
      <protection/>
    </xf>
    <xf numFmtId="0" fontId="94" fillId="0" borderId="15" xfId="0" applyFont="1" applyBorder="1" applyAlignment="1" applyProtection="1">
      <alignment horizontal="justify" vertical="center" wrapText="1"/>
      <protection/>
    </xf>
    <xf numFmtId="0" fontId="94" fillId="0" borderId="15" xfId="0" applyFont="1" applyBorder="1" applyAlignment="1" applyProtection="1">
      <alignment horizontal="justify" vertical="center"/>
      <protection/>
    </xf>
    <xf numFmtId="0" fontId="24" fillId="0" borderId="15" xfId="0" applyFont="1" applyBorder="1" applyAlignment="1" applyProtection="1">
      <alignment vertical="center"/>
      <protection/>
    </xf>
    <xf numFmtId="0" fontId="24" fillId="0" borderId="0" xfId="0" applyFont="1" applyAlignment="1" applyProtection="1">
      <alignment horizontal="center" vertical="center" wrapText="1"/>
      <protection/>
    </xf>
    <xf numFmtId="0" fontId="24" fillId="0" borderId="0" xfId="0" applyFont="1" applyAlignment="1" applyProtection="1">
      <alignment horizontal="center" vertical="center"/>
      <protection/>
    </xf>
    <xf numFmtId="0" fontId="24" fillId="0" borderId="0" xfId="0" applyFont="1" applyAlignment="1" applyProtection="1">
      <alignment vertical="center"/>
      <protection/>
    </xf>
    <xf numFmtId="0" fontId="15" fillId="0" borderId="19" xfId="0" applyFont="1" applyBorder="1" applyAlignment="1" applyProtection="1">
      <alignment horizontal="left" vertical="center" wrapText="1"/>
      <protection/>
    </xf>
    <xf numFmtId="0" fontId="0" fillId="0" borderId="15" xfId="0" applyFill="1"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0" xfId="0" applyAlignment="1" applyProtection="1">
      <alignment horizontal="left" vertical="center" wrapText="1"/>
      <protection/>
    </xf>
    <xf numFmtId="0" fontId="90" fillId="34" borderId="0" xfId="0" applyFont="1" applyFill="1" applyBorder="1" applyAlignment="1" applyProtection="1">
      <alignment horizontal="center"/>
      <protection/>
    </xf>
    <xf numFmtId="0" fontId="97" fillId="42" borderId="22" xfId="0" applyFont="1" applyFill="1" applyBorder="1" applyAlignment="1" applyProtection="1">
      <alignment horizontal="center" vertical="center"/>
      <protection/>
    </xf>
    <xf numFmtId="0" fontId="98" fillId="42" borderId="23" xfId="0" applyFont="1" applyFill="1" applyBorder="1" applyAlignment="1" applyProtection="1">
      <alignment horizontal="center" vertical="center" wrapText="1"/>
      <protection/>
    </xf>
    <xf numFmtId="0" fontId="98" fillId="34" borderId="0" xfId="0" applyFont="1" applyFill="1" applyBorder="1" applyAlignment="1" applyProtection="1">
      <alignment horizontal="center" vertical="center" wrapText="1"/>
      <protection/>
    </xf>
    <xf numFmtId="0" fontId="98" fillId="42" borderId="24" xfId="0" applyFont="1" applyFill="1" applyBorder="1" applyAlignment="1" applyProtection="1">
      <alignment horizontal="center" vertical="center" wrapText="1"/>
      <protection/>
    </xf>
    <xf numFmtId="0" fontId="98" fillId="42" borderId="25" xfId="0" applyFont="1" applyFill="1" applyBorder="1" applyAlignment="1" applyProtection="1">
      <alignment horizontal="center" vertical="center" wrapText="1"/>
      <protection/>
    </xf>
    <xf numFmtId="0" fontId="98" fillId="42" borderId="26" xfId="0" applyFont="1" applyFill="1" applyBorder="1" applyAlignment="1" applyProtection="1">
      <alignment horizontal="center" vertical="center" wrapText="1"/>
      <protection/>
    </xf>
    <xf numFmtId="44" fontId="0" fillId="0" borderId="23" xfId="46" applyFont="1" applyBorder="1" applyAlignment="1" applyProtection="1">
      <alignment horizontal="center"/>
      <protection/>
    </xf>
    <xf numFmtId="44" fontId="0" fillId="34" borderId="0" xfId="46" applyFont="1" applyFill="1" applyBorder="1" applyAlignment="1" applyProtection="1">
      <alignment horizontal="center"/>
      <protection/>
    </xf>
    <xf numFmtId="0" fontId="99" fillId="0" borderId="22" xfId="0" applyFont="1" applyBorder="1" applyAlignment="1" applyProtection="1">
      <alignment horizontal="center"/>
      <protection/>
    </xf>
    <xf numFmtId="44" fontId="0" fillId="40" borderId="23" xfId="46" applyFont="1" applyFill="1" applyBorder="1" applyAlignment="1" applyProtection="1">
      <alignment horizontal="center"/>
      <protection locked="0"/>
    </xf>
    <xf numFmtId="0" fontId="0" fillId="0" borderId="27" xfId="0" applyBorder="1" applyAlignment="1" applyProtection="1">
      <alignment horizontal="center"/>
      <protection/>
    </xf>
    <xf numFmtId="0" fontId="0" fillId="0" borderId="28" xfId="0" applyBorder="1" applyAlignment="1" applyProtection="1">
      <alignment horizontal="center"/>
      <protection/>
    </xf>
    <xf numFmtId="44" fontId="0" fillId="40" borderId="28" xfId="46" applyFont="1" applyFill="1" applyBorder="1" applyAlignment="1" applyProtection="1">
      <alignment horizontal="center"/>
      <protection locked="0"/>
    </xf>
    <xf numFmtId="44" fontId="0" fillId="40" borderId="29" xfId="46" applyFont="1" applyFill="1" applyBorder="1" applyAlignment="1" applyProtection="1">
      <alignment horizontal="center"/>
      <protection locked="0"/>
    </xf>
    <xf numFmtId="44" fontId="0" fillId="41" borderId="29" xfId="46" applyFont="1" applyFill="1" applyBorder="1" applyAlignment="1" applyProtection="1">
      <alignment horizontal="center"/>
      <protection/>
    </xf>
    <xf numFmtId="0" fontId="0" fillId="34" borderId="0" xfId="0" applyFill="1" applyAlignment="1" applyProtection="1">
      <alignment/>
      <protection/>
    </xf>
    <xf numFmtId="0" fontId="90" fillId="0" borderId="0" xfId="0" applyFont="1" applyFill="1" applyBorder="1" applyAlignment="1" applyProtection="1">
      <alignment/>
      <protection/>
    </xf>
    <xf numFmtId="0" fontId="98" fillId="41" borderId="22" xfId="0" applyFont="1" applyFill="1" applyBorder="1" applyAlignment="1" applyProtection="1">
      <alignment horizontal="center" vertical="center"/>
      <protection/>
    </xf>
    <xf numFmtId="0" fontId="7" fillId="41" borderId="0" xfId="0" applyFont="1" applyFill="1" applyBorder="1" applyAlignment="1" applyProtection="1">
      <alignment horizontal="center" vertical="center"/>
      <protection/>
    </xf>
    <xf numFmtId="0" fontId="90" fillId="41" borderId="23" xfId="0" applyFont="1" applyFill="1" applyBorder="1" applyAlignment="1" applyProtection="1">
      <alignment horizontal="center" vertical="center"/>
      <protection/>
    </xf>
    <xf numFmtId="0" fontId="98" fillId="41" borderId="30" xfId="0" applyFont="1" applyFill="1" applyBorder="1" applyAlignment="1" applyProtection="1">
      <alignment horizontal="center" vertical="center"/>
      <protection/>
    </xf>
    <xf numFmtId="0" fontId="94" fillId="34" borderId="0" xfId="0" applyFont="1" applyFill="1" applyAlignment="1" applyProtection="1">
      <alignment horizontal="center" wrapText="1"/>
      <protection/>
    </xf>
    <xf numFmtId="0" fontId="98" fillId="41" borderId="31" xfId="0" applyFont="1" applyFill="1" applyBorder="1" applyAlignment="1" applyProtection="1">
      <alignment horizontal="center" vertical="center"/>
      <protection/>
    </xf>
    <xf numFmtId="44" fontId="0" fillId="41" borderId="32" xfId="0" applyNumberFormat="1" applyFill="1" applyBorder="1" applyAlignment="1" applyProtection="1">
      <alignment/>
      <protection/>
    </xf>
    <xf numFmtId="0" fontId="101" fillId="34" borderId="0" xfId="0" applyFont="1" applyFill="1" applyBorder="1" applyAlignment="1" applyProtection="1">
      <alignment horizontal="center"/>
      <protection/>
    </xf>
    <xf numFmtId="0" fontId="21" fillId="0" borderId="15" xfId="0" applyFont="1" applyBorder="1" applyAlignment="1" applyProtection="1">
      <alignment horizontal="center" vertical="center" wrapText="1"/>
      <protection/>
    </xf>
    <xf numFmtId="179" fontId="21" fillId="0" borderId="15" xfId="0" applyNumberFormat="1" applyFont="1" applyBorder="1" applyAlignment="1" applyProtection="1">
      <alignment horizontal="center" vertical="center"/>
      <protection/>
    </xf>
    <xf numFmtId="44" fontId="26" fillId="0" borderId="15" xfId="0" applyNumberFormat="1" applyFont="1" applyBorder="1" applyAlignment="1" applyProtection="1">
      <alignment horizontal="center" vertical="center"/>
      <protection/>
    </xf>
    <xf numFmtId="44" fontId="21" fillId="0" borderId="15" xfId="0" applyNumberFormat="1" applyFont="1" applyBorder="1" applyAlignment="1" applyProtection="1">
      <alignment horizontal="center" vertical="center"/>
      <protection/>
    </xf>
    <xf numFmtId="44" fontId="20" fillId="41" borderId="15" xfId="0" applyNumberFormat="1"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Border="1" applyAlignment="1" applyProtection="1">
      <alignment/>
      <protection/>
    </xf>
    <xf numFmtId="44" fontId="20" fillId="0" borderId="15" xfId="0" applyNumberFormat="1" applyFont="1" applyBorder="1" applyAlignment="1" applyProtection="1">
      <alignment vertical="center" wrapText="1"/>
      <protection/>
    </xf>
    <xf numFmtId="0" fontId="16" fillId="41" borderId="16" xfId="62" applyFont="1" applyFill="1" applyBorder="1" applyAlignment="1" applyProtection="1">
      <alignment horizontal="center" vertical="center" wrapText="1"/>
      <protection/>
    </xf>
    <xf numFmtId="44" fontId="15" fillId="40" borderId="15" xfId="46" applyFont="1" applyFill="1" applyBorder="1" applyAlignment="1" applyProtection="1">
      <alignment vertical="center"/>
      <protection locked="0"/>
    </xf>
    <xf numFmtId="44" fontId="15" fillId="40" borderId="15" xfId="46" applyFont="1" applyFill="1" applyBorder="1" applyAlignment="1" applyProtection="1">
      <alignment horizontal="right" vertical="center"/>
      <protection locked="0"/>
    </xf>
    <xf numFmtId="44" fontId="21" fillId="40" borderId="15" xfId="46" applyFont="1" applyFill="1" applyBorder="1" applyAlignment="1" applyProtection="1">
      <alignment horizontal="center" vertical="center"/>
      <protection locked="0"/>
    </xf>
    <xf numFmtId="44" fontId="21" fillId="40" borderId="15" xfId="46" applyFont="1" applyFill="1" applyBorder="1" applyAlignment="1" applyProtection="1">
      <alignment vertical="center" wrapText="1"/>
      <protection locked="0"/>
    </xf>
    <xf numFmtId="44" fontId="21" fillId="40" borderId="16" xfId="46" applyFont="1" applyFill="1" applyBorder="1" applyAlignment="1" applyProtection="1">
      <alignment horizontal="center" vertical="center"/>
      <protection locked="0"/>
    </xf>
    <xf numFmtId="44" fontId="24" fillId="40" borderId="19" xfId="46" applyFont="1" applyFill="1" applyBorder="1" applyAlignment="1" applyProtection="1">
      <alignment horizontal="center" vertical="center"/>
      <protection locked="0"/>
    </xf>
    <xf numFmtId="44" fontId="24" fillId="40" borderId="15" xfId="46" applyFont="1" applyFill="1" applyBorder="1" applyAlignment="1" applyProtection="1">
      <alignment horizontal="center" vertical="center"/>
      <protection locked="0"/>
    </xf>
    <xf numFmtId="44" fontId="21" fillId="40" borderId="15" xfId="46" applyFont="1" applyFill="1" applyBorder="1" applyAlignment="1" applyProtection="1">
      <alignment horizontal="center" vertical="center"/>
      <protection locked="0"/>
    </xf>
    <xf numFmtId="179" fontId="21" fillId="0" borderId="15" xfId="0" applyNumberFormat="1" applyFont="1" applyBorder="1" applyAlignment="1" applyProtection="1">
      <alignment horizontal="center" vertical="center" wrapText="1"/>
      <protection/>
    </xf>
    <xf numFmtId="44" fontId="1" fillId="0" borderId="15" xfId="46" applyBorder="1" applyAlignment="1" applyProtection="1">
      <alignment/>
      <protection/>
    </xf>
    <xf numFmtId="44" fontId="8" fillId="0" borderId="15" xfId="46" applyFont="1" applyFill="1" applyBorder="1" applyAlignment="1" applyProtection="1">
      <alignment horizontal="center" vertical="center"/>
      <protection/>
    </xf>
    <xf numFmtId="0" fontId="54" fillId="47" borderId="0" xfId="0" applyFont="1" applyFill="1" applyBorder="1" applyAlignment="1" applyProtection="1">
      <alignment horizontal="center" vertical="center"/>
      <protection/>
    </xf>
    <xf numFmtId="165" fontId="54" fillId="47" borderId="0" xfId="0" applyNumberFormat="1" applyFont="1" applyFill="1" applyBorder="1" applyAlignment="1" applyProtection="1">
      <alignment horizontal="center" vertical="center"/>
      <protection/>
    </xf>
    <xf numFmtId="0" fontId="8" fillId="47" borderId="15" xfId="0" applyFont="1" applyFill="1" applyBorder="1" applyAlignment="1" applyProtection="1">
      <alignment horizontal="center" vertical="center"/>
      <protection/>
    </xf>
    <xf numFmtId="0" fontId="5" fillId="47" borderId="15" xfId="0" applyFont="1" applyFill="1" applyBorder="1" applyAlignment="1" applyProtection="1">
      <alignment horizontal="center" vertical="center"/>
      <protection/>
    </xf>
    <xf numFmtId="0" fontId="8" fillId="47" borderId="11" xfId="0" applyFont="1" applyFill="1" applyBorder="1" applyAlignment="1" applyProtection="1">
      <alignment horizontal="center" vertical="center"/>
      <protection/>
    </xf>
    <xf numFmtId="0" fontId="54" fillId="47" borderId="12" xfId="0" applyFont="1" applyFill="1" applyBorder="1" applyAlignment="1" applyProtection="1">
      <alignment horizontal="center" vertical="center"/>
      <protection/>
    </xf>
    <xf numFmtId="176" fontId="95" fillId="0" borderId="0" xfId="0" applyNumberFormat="1" applyFont="1" applyAlignment="1" applyProtection="1">
      <alignment horizontal="center"/>
      <protection/>
    </xf>
    <xf numFmtId="44" fontId="15" fillId="0" borderId="15" xfId="46" applyFont="1" applyFill="1" applyBorder="1" applyAlignment="1" applyProtection="1">
      <alignment horizontal="center" vertical="center"/>
      <protection/>
    </xf>
    <xf numFmtId="44" fontId="15" fillId="0" borderId="15" xfId="46" applyFont="1" applyFill="1" applyBorder="1" applyAlignment="1" applyProtection="1">
      <alignment horizontal="right" vertical="center"/>
      <protection/>
    </xf>
    <xf numFmtId="44" fontId="15" fillId="0" borderId="15" xfId="46" applyFont="1" applyFill="1" applyBorder="1" applyAlignment="1" applyProtection="1">
      <alignment horizontal="center"/>
      <protection/>
    </xf>
    <xf numFmtId="0" fontId="24" fillId="0" borderId="15" xfId="0" applyFont="1" applyBorder="1" applyAlignment="1" applyProtection="1">
      <alignment vertical="center" wrapText="1"/>
      <protection/>
    </xf>
    <xf numFmtId="44" fontId="27" fillId="40" borderId="15" xfId="46" applyFont="1" applyFill="1" applyBorder="1" applyAlignment="1" applyProtection="1">
      <alignment horizontal="center" vertical="center"/>
      <protection locked="0"/>
    </xf>
    <xf numFmtId="44" fontId="1" fillId="40" borderId="15" xfId="46" applyFill="1" applyBorder="1" applyAlignment="1" applyProtection="1">
      <alignment horizontal="center" vertical="center"/>
      <protection locked="0"/>
    </xf>
    <xf numFmtId="0" fontId="26" fillId="42" borderId="24" xfId="0" applyFont="1" applyFill="1" applyBorder="1" applyAlignment="1" applyProtection="1">
      <alignment horizontal="center" vertical="center"/>
      <protection/>
    </xf>
    <xf numFmtId="0" fontId="26" fillId="42" borderId="25" xfId="0" applyFont="1" applyFill="1" applyBorder="1" applyAlignment="1" applyProtection="1">
      <alignment horizontal="center" vertical="center"/>
      <protection/>
    </xf>
    <xf numFmtId="0" fontId="26" fillId="42" borderId="25" xfId="0" applyFont="1" applyFill="1" applyBorder="1" applyAlignment="1" applyProtection="1">
      <alignment horizontal="center" vertical="center" wrapText="1"/>
      <protection/>
    </xf>
    <xf numFmtId="0" fontId="26" fillId="42" borderId="25" xfId="0" applyFont="1" applyFill="1" applyBorder="1" applyAlignment="1" applyProtection="1">
      <alignment horizontal="center" vertical="center"/>
      <protection/>
    </xf>
    <xf numFmtId="0" fontId="26" fillId="42" borderId="15" xfId="0" applyFont="1" applyFill="1" applyBorder="1" applyAlignment="1" applyProtection="1">
      <alignment horizontal="center" vertical="center" wrapText="1"/>
      <protection/>
    </xf>
    <xf numFmtId="0" fontId="24" fillId="0" borderId="22" xfId="0" applyFont="1" applyBorder="1" applyAlignment="1" applyProtection="1">
      <alignment horizontal="center" vertical="center"/>
      <protection/>
    </xf>
    <xf numFmtId="0" fontId="30" fillId="0" borderId="15" xfId="0" applyFont="1" applyBorder="1" applyAlignment="1" applyProtection="1">
      <alignment horizontal="justify" vertical="center" wrapText="1"/>
      <protection/>
    </xf>
    <xf numFmtId="0" fontId="24" fillId="0" borderId="15" xfId="0" applyFont="1" applyBorder="1" applyAlignment="1" applyProtection="1">
      <alignment horizontal="center" vertical="center" wrapText="1"/>
      <protection/>
    </xf>
    <xf numFmtId="0" fontId="24" fillId="0" borderId="15" xfId="0" applyFont="1" applyBorder="1" applyAlignment="1" applyProtection="1">
      <alignment horizontal="center" vertical="center"/>
      <protection/>
    </xf>
    <xf numFmtId="44" fontId="24" fillId="0" borderId="15" xfId="0" applyNumberFormat="1" applyFont="1" applyBorder="1" applyAlignment="1" applyProtection="1">
      <alignment horizontal="center" vertical="center"/>
      <protection/>
    </xf>
    <xf numFmtId="0" fontId="24" fillId="0" borderId="30" xfId="0" applyFont="1" applyBorder="1" applyAlignment="1" applyProtection="1">
      <alignment horizontal="center" vertical="center"/>
      <protection/>
    </xf>
    <xf numFmtId="0" fontId="30" fillId="0" borderId="16" xfId="0" applyFont="1" applyBorder="1" applyAlignment="1" applyProtection="1">
      <alignment vertical="center" wrapText="1"/>
      <protection/>
    </xf>
    <xf numFmtId="0" fontId="24" fillId="0" borderId="16" xfId="0" applyFont="1" applyBorder="1" applyAlignment="1" applyProtection="1">
      <alignment horizontal="center" vertical="center" wrapText="1"/>
      <protection/>
    </xf>
    <xf numFmtId="0" fontId="24" fillId="0" borderId="16" xfId="0" applyFont="1" applyBorder="1" applyAlignment="1" applyProtection="1">
      <alignment horizontal="center" vertical="center"/>
      <protection/>
    </xf>
    <xf numFmtId="0" fontId="30" fillId="0" borderId="15" xfId="0" applyFont="1" applyBorder="1" applyAlignment="1" applyProtection="1">
      <alignment vertical="center" wrapText="1"/>
      <protection/>
    </xf>
    <xf numFmtId="0" fontId="24" fillId="0" borderId="15" xfId="0" applyFont="1" applyFill="1" applyBorder="1" applyAlignment="1" applyProtection="1">
      <alignment horizontal="center" vertical="center" wrapText="1"/>
      <protection/>
    </xf>
    <xf numFmtId="44" fontId="26" fillId="41" borderId="15" xfId="0" applyNumberFormat="1" applyFont="1" applyFill="1" applyBorder="1" applyAlignment="1" applyProtection="1">
      <alignment vertical="center"/>
      <protection/>
    </xf>
    <xf numFmtId="0" fontId="31" fillId="0" borderId="0" xfId="0" applyFont="1" applyAlignment="1" applyProtection="1">
      <alignment/>
      <protection/>
    </xf>
    <xf numFmtId="179" fontId="0" fillId="34" borderId="15" xfId="46" applyNumberFormat="1" applyFont="1" applyFill="1" applyBorder="1" applyAlignment="1" applyProtection="1">
      <alignment horizontal="center"/>
      <protection/>
    </xf>
    <xf numFmtId="179" fontId="0" fillId="34" borderId="28" xfId="46" applyNumberFormat="1" applyFont="1" applyFill="1" applyBorder="1" applyAlignment="1" applyProtection="1">
      <alignment horizontal="center"/>
      <protection/>
    </xf>
    <xf numFmtId="165" fontId="53" fillId="45" borderId="15" xfId="0" applyNumberFormat="1" applyFont="1" applyFill="1" applyBorder="1" applyAlignment="1" applyProtection="1">
      <alignment horizontal="center" vertical="center"/>
      <protection/>
    </xf>
    <xf numFmtId="0" fontId="53" fillId="41" borderId="16" xfId="0" applyFont="1" applyFill="1" applyBorder="1" applyAlignment="1" applyProtection="1">
      <alignment horizontal="center" vertical="center"/>
      <protection/>
    </xf>
    <xf numFmtId="0" fontId="53" fillId="41" borderId="33" xfId="0" applyFont="1" applyFill="1" applyBorder="1" applyAlignment="1" applyProtection="1">
      <alignment horizontal="center" vertical="center"/>
      <protection/>
    </xf>
    <xf numFmtId="0" fontId="53" fillId="41" borderId="15" xfId="0" applyFont="1" applyFill="1" applyBorder="1" applyAlignment="1" applyProtection="1">
      <alignment horizontal="center" vertical="center"/>
      <protection/>
    </xf>
    <xf numFmtId="0" fontId="3" fillId="41" borderId="15" xfId="0" applyFont="1" applyFill="1" applyBorder="1" applyAlignment="1" applyProtection="1">
      <alignment horizontal="center" vertical="center"/>
      <protection/>
    </xf>
    <xf numFmtId="44" fontId="8" fillId="0" borderId="19" xfId="46" applyFont="1" applyBorder="1" applyAlignment="1" applyProtection="1">
      <alignment horizontal="center" vertical="center"/>
      <protection/>
    </xf>
    <xf numFmtId="0" fontId="3" fillId="36" borderId="15" xfId="0" applyFont="1" applyFill="1" applyBorder="1" applyAlignment="1" applyProtection="1">
      <alignment horizontal="center" vertical="center"/>
      <protection/>
    </xf>
    <xf numFmtId="0" fontId="3" fillId="37" borderId="15" xfId="0" applyFont="1" applyFill="1" applyBorder="1" applyAlignment="1" applyProtection="1">
      <alignment horizontal="center" vertical="center"/>
      <protection/>
    </xf>
    <xf numFmtId="165" fontId="53" fillId="43" borderId="15" xfId="0" applyNumberFormat="1" applyFont="1" applyFill="1" applyBorder="1" applyAlignment="1" applyProtection="1">
      <alignment horizontal="center" vertical="center"/>
      <protection/>
    </xf>
    <xf numFmtId="0" fontId="53" fillId="0" borderId="15" xfId="0" applyFont="1" applyBorder="1" applyAlignment="1" applyProtection="1">
      <alignment horizontal="center" vertical="center"/>
      <protection/>
    </xf>
    <xf numFmtId="165" fontId="53" fillId="45" borderId="15" xfId="0" applyNumberFormat="1" applyFont="1" applyFill="1" applyBorder="1" applyAlignment="1" applyProtection="1">
      <alignment horizontal="center" vertical="center"/>
      <protection locked="0"/>
    </xf>
    <xf numFmtId="10" fontId="53" fillId="45" borderId="15" xfId="0" applyNumberFormat="1" applyFont="1" applyFill="1" applyBorder="1" applyAlignment="1" applyProtection="1">
      <alignment horizontal="center" vertical="center"/>
      <protection/>
    </xf>
    <xf numFmtId="10" fontId="53" fillId="43" borderId="15" xfId="0" applyNumberFormat="1" applyFont="1" applyFill="1" applyBorder="1" applyAlignment="1" applyProtection="1">
      <alignment horizontal="center" vertical="center"/>
      <protection/>
    </xf>
    <xf numFmtId="165" fontId="53" fillId="0" borderId="15" xfId="0" applyNumberFormat="1" applyFont="1" applyBorder="1" applyAlignment="1" applyProtection="1">
      <alignment horizontal="center" vertical="center"/>
      <protection/>
    </xf>
    <xf numFmtId="0" fontId="53" fillId="0" borderId="15" xfId="0" applyFont="1" applyBorder="1" applyAlignment="1" applyProtection="1">
      <alignment horizontal="center"/>
      <protection/>
    </xf>
    <xf numFmtId="0" fontId="53" fillId="33" borderId="15" xfId="0" applyFont="1" applyFill="1" applyBorder="1" applyAlignment="1" applyProtection="1">
      <alignment horizontal="center" vertical="center"/>
      <protection/>
    </xf>
    <xf numFmtId="10" fontId="53" fillId="45" borderId="15" xfId="0" applyNumberFormat="1" applyFont="1" applyFill="1" applyBorder="1" applyAlignment="1" applyProtection="1">
      <alignment horizontal="center" vertical="center"/>
      <protection locked="0"/>
    </xf>
    <xf numFmtId="0" fontId="53" fillId="45" borderId="15" xfId="0" applyFont="1" applyFill="1" applyBorder="1" applyAlignment="1" applyProtection="1">
      <alignment horizontal="center" vertical="center"/>
      <protection locked="0"/>
    </xf>
    <xf numFmtId="165" fontId="53" fillId="0" borderId="15" xfId="0" applyNumberFormat="1" applyFont="1" applyFill="1" applyBorder="1" applyAlignment="1" applyProtection="1">
      <alignment horizontal="center" vertical="center"/>
      <protection/>
    </xf>
    <xf numFmtId="0" fontId="53" fillId="0" borderId="15" xfId="0" applyFont="1" applyFill="1" applyBorder="1" applyAlignment="1" applyProtection="1">
      <alignment horizontal="center" vertical="center"/>
      <protection/>
    </xf>
    <xf numFmtId="0" fontId="54" fillId="39" borderId="15" xfId="0" applyFont="1" applyFill="1" applyBorder="1" applyAlignment="1" applyProtection="1">
      <alignment horizontal="center" vertical="center"/>
      <protection/>
    </xf>
    <xf numFmtId="14" fontId="53" fillId="45" borderId="15" xfId="0" applyNumberFormat="1" applyFont="1" applyFill="1" applyBorder="1" applyAlignment="1" applyProtection="1">
      <alignment horizontal="center"/>
      <protection locked="0"/>
    </xf>
    <xf numFmtId="0" fontId="8" fillId="47" borderId="13" xfId="0" applyFont="1" applyFill="1" applyBorder="1" applyAlignment="1" applyProtection="1">
      <alignment horizontal="left" vertical="center"/>
      <protection/>
    </xf>
    <xf numFmtId="165" fontId="8" fillId="47" borderId="16" xfId="0" applyNumberFormat="1" applyFont="1" applyFill="1" applyBorder="1" applyAlignment="1" applyProtection="1">
      <alignment horizontal="center" vertical="center"/>
      <protection/>
    </xf>
    <xf numFmtId="0" fontId="16" fillId="41" borderId="16" xfId="0" applyFont="1" applyFill="1" applyBorder="1" applyAlignment="1" applyProtection="1">
      <alignment horizontal="center" vertical="center" wrapText="1"/>
      <protection/>
    </xf>
    <xf numFmtId="0" fontId="16" fillId="48" borderId="16" xfId="62" applyFont="1" applyFill="1" applyBorder="1" applyAlignment="1" applyProtection="1">
      <alignment horizontal="center" vertical="center" wrapText="1"/>
      <protection/>
    </xf>
    <xf numFmtId="0" fontId="21" fillId="0" borderId="15" xfId="0" applyFont="1" applyBorder="1" applyAlignment="1" applyProtection="1">
      <alignment horizontal="center" vertical="center"/>
      <protection/>
    </xf>
    <xf numFmtId="0" fontId="21" fillId="0" borderId="11" xfId="0" applyFont="1" applyBorder="1" applyAlignment="1" applyProtection="1">
      <alignment horizontal="center" vertical="center" wrapText="1"/>
      <protection/>
    </xf>
    <xf numFmtId="0" fontId="99" fillId="0" borderId="22" xfId="0" applyFont="1" applyBorder="1" applyAlignment="1" applyProtection="1">
      <alignment horizontal="center" vertical="center"/>
      <protection/>
    </xf>
    <xf numFmtId="44" fontId="32" fillId="41" borderId="15" xfId="46" applyFont="1" applyFill="1" applyBorder="1" applyAlignment="1" applyProtection="1">
      <alignment horizontal="center" vertical="center"/>
      <protection/>
    </xf>
    <xf numFmtId="44" fontId="16" fillId="41" borderId="15" xfId="0" applyNumberFormat="1" applyFont="1" applyFill="1" applyBorder="1" applyAlignment="1" applyProtection="1">
      <alignment horizontal="center" vertical="center"/>
      <protection/>
    </xf>
    <xf numFmtId="0" fontId="0" fillId="0" borderId="15" xfId="0" applyBorder="1" applyAlignment="1" applyProtection="1">
      <alignment wrapText="1"/>
      <protection/>
    </xf>
    <xf numFmtId="0" fontId="0" fillId="0" borderId="15" xfId="0" applyBorder="1" applyAlignment="1" applyProtection="1">
      <alignment vertical="center"/>
      <protection/>
    </xf>
    <xf numFmtId="0" fontId="0" fillId="0" borderId="15" xfId="0" applyBorder="1" applyAlignment="1" applyProtection="1">
      <alignment horizontal="center" vertical="center" wrapText="1"/>
      <protection/>
    </xf>
    <xf numFmtId="0" fontId="3" fillId="41" borderId="15" xfId="0" applyFont="1" applyFill="1" applyBorder="1" applyAlignment="1" applyProtection="1">
      <alignment horizontal="center"/>
      <protection/>
    </xf>
    <xf numFmtId="0" fontId="3" fillId="0" borderId="16"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62" fillId="41" borderId="11" xfId="0" applyFont="1" applyFill="1" applyBorder="1" applyAlignment="1" applyProtection="1">
      <alignment horizontal="center" vertical="center"/>
      <protection/>
    </xf>
    <xf numFmtId="0" fontId="62" fillId="41" borderId="13" xfId="0" applyFont="1" applyFill="1" applyBorder="1" applyAlignment="1" applyProtection="1">
      <alignment horizontal="center" vertical="center"/>
      <protection/>
    </xf>
    <xf numFmtId="0" fontId="53" fillId="41" borderId="16" xfId="0" applyFont="1" applyFill="1" applyBorder="1" applyAlignment="1" applyProtection="1">
      <alignment horizontal="center" vertical="center"/>
      <protection/>
    </xf>
    <xf numFmtId="0" fontId="53" fillId="41" borderId="33" xfId="0" applyFont="1" applyFill="1" applyBorder="1" applyAlignment="1" applyProtection="1">
      <alignment horizontal="center" vertical="center"/>
      <protection/>
    </xf>
    <xf numFmtId="0" fontId="53" fillId="41" borderId="19" xfId="0" applyFont="1" applyFill="1" applyBorder="1" applyAlignment="1" applyProtection="1">
      <alignment horizontal="center" vertical="center"/>
      <protection/>
    </xf>
    <xf numFmtId="0" fontId="53" fillId="41" borderId="12" xfId="0" applyFont="1" applyFill="1" applyBorder="1" applyAlignment="1" applyProtection="1">
      <alignment horizontal="center" vertical="center" wrapText="1"/>
      <protection/>
    </xf>
    <xf numFmtId="0" fontId="53" fillId="41" borderId="13" xfId="0" applyFont="1" applyFill="1" applyBorder="1" applyAlignment="1" applyProtection="1">
      <alignment horizontal="center" vertical="center" wrapText="1"/>
      <protection/>
    </xf>
    <xf numFmtId="0" fontId="62" fillId="0" borderId="11" xfId="0" applyFont="1" applyBorder="1" applyAlignment="1" applyProtection="1">
      <alignment horizontal="center" vertical="center"/>
      <protection/>
    </xf>
    <xf numFmtId="0" fontId="62" fillId="0" borderId="13" xfId="0" applyFont="1" applyBorder="1" applyAlignment="1" applyProtection="1">
      <alignment horizontal="center" vertical="center"/>
      <protection/>
    </xf>
    <xf numFmtId="0" fontId="53" fillId="41" borderId="16" xfId="0" applyFont="1" applyFill="1" applyBorder="1" applyAlignment="1" applyProtection="1">
      <alignment horizontal="justify" vertical="center" wrapText="1"/>
      <protection/>
    </xf>
    <xf numFmtId="0" fontId="53" fillId="41" borderId="33" xfId="0" applyFont="1" applyFill="1" applyBorder="1" applyAlignment="1" applyProtection="1">
      <alignment horizontal="justify" vertical="center" wrapText="1"/>
      <protection/>
    </xf>
    <xf numFmtId="0" fontId="53" fillId="41" borderId="19" xfId="0" applyFont="1" applyFill="1" applyBorder="1" applyAlignment="1" applyProtection="1">
      <alignment horizontal="justify" vertical="center" wrapText="1"/>
      <protection/>
    </xf>
    <xf numFmtId="0" fontId="53" fillId="41" borderId="15" xfId="0" applyFont="1" applyFill="1" applyBorder="1" applyAlignment="1" applyProtection="1">
      <alignment horizontal="center" vertical="center"/>
      <protection/>
    </xf>
    <xf numFmtId="0" fontId="63" fillId="0" borderId="11" xfId="0" applyFont="1" applyBorder="1" applyAlignment="1" applyProtection="1">
      <alignment horizontal="center"/>
      <protection/>
    </xf>
    <xf numFmtId="0" fontId="63" fillId="0" borderId="12" xfId="0" applyFont="1" applyBorder="1" applyAlignment="1" applyProtection="1">
      <alignment horizontal="center"/>
      <protection/>
    </xf>
    <xf numFmtId="0" fontId="63" fillId="0" borderId="13" xfId="0" applyFont="1" applyBorder="1" applyAlignment="1" applyProtection="1">
      <alignment horizontal="center"/>
      <protection/>
    </xf>
    <xf numFmtId="0" fontId="3" fillId="41" borderId="15" xfId="0" applyFont="1" applyFill="1" applyBorder="1" applyAlignment="1" applyProtection="1">
      <alignment horizontal="center" vertical="center"/>
      <protection/>
    </xf>
    <xf numFmtId="44" fontId="8" fillId="0" borderId="16" xfId="46" applyFont="1" applyBorder="1" applyAlignment="1" applyProtection="1">
      <alignment horizontal="center" vertical="center"/>
      <protection/>
    </xf>
    <xf numFmtId="44" fontId="8" fillId="0" borderId="33" xfId="46" applyFont="1" applyBorder="1" applyAlignment="1" applyProtection="1">
      <alignment horizontal="center" vertical="center"/>
      <protection/>
    </xf>
    <xf numFmtId="44" fontId="8" fillId="0" borderId="19" xfId="46" applyFont="1" applyBorder="1" applyAlignment="1" applyProtection="1">
      <alignment horizontal="center" vertical="center"/>
      <protection/>
    </xf>
    <xf numFmtId="0" fontId="17" fillId="0" borderId="15" xfId="0" applyFont="1" applyBorder="1" applyAlignment="1" applyProtection="1">
      <alignment horizontal="center"/>
      <protection/>
    </xf>
    <xf numFmtId="0" fontId="53" fillId="0" borderId="15" xfId="0" applyFont="1" applyBorder="1" applyAlignment="1" applyProtection="1">
      <alignment horizontal="center" vertical="center"/>
      <protection/>
    </xf>
    <xf numFmtId="10" fontId="53" fillId="0" borderId="15" xfId="0" applyNumberFormat="1" applyFont="1" applyBorder="1" applyAlignment="1" applyProtection="1">
      <alignment horizontal="center" vertical="center"/>
      <protection/>
    </xf>
    <xf numFmtId="0" fontId="102" fillId="49" borderId="15" xfId="0" applyFont="1" applyFill="1" applyBorder="1" applyAlignment="1" applyProtection="1">
      <alignment horizontal="center" vertical="center"/>
      <protection/>
    </xf>
    <xf numFmtId="0" fontId="3" fillId="49" borderId="15" xfId="0" applyFont="1" applyFill="1" applyBorder="1" applyAlignment="1" applyProtection="1">
      <alignment horizontal="center" vertical="center"/>
      <protection/>
    </xf>
    <xf numFmtId="0" fontId="3" fillId="37" borderId="15" xfId="0" applyFont="1" applyFill="1" applyBorder="1" applyAlignment="1" applyProtection="1">
      <alignment horizontal="center" vertical="center"/>
      <protection/>
    </xf>
    <xf numFmtId="0" fontId="3" fillId="7" borderId="15" xfId="0" applyFont="1" applyFill="1" applyBorder="1" applyAlignment="1" applyProtection="1">
      <alignment horizontal="center" vertical="center"/>
      <protection/>
    </xf>
    <xf numFmtId="0" fontId="53" fillId="50" borderId="15" xfId="0" applyFont="1" applyFill="1" applyBorder="1" applyAlignment="1" applyProtection="1">
      <alignment horizontal="center"/>
      <protection/>
    </xf>
    <xf numFmtId="0" fontId="3" fillId="36" borderId="15" xfId="0" applyFont="1" applyFill="1" applyBorder="1" applyAlignment="1" applyProtection="1">
      <alignment horizontal="center" vertical="center"/>
      <protection/>
    </xf>
    <xf numFmtId="0" fontId="3" fillId="51" borderId="15" xfId="0" applyFont="1" applyFill="1" applyBorder="1" applyAlignment="1" applyProtection="1">
      <alignment horizontal="center" vertical="center"/>
      <protection/>
    </xf>
    <xf numFmtId="0" fontId="102" fillId="49" borderId="10" xfId="0" applyFont="1" applyFill="1" applyBorder="1" applyAlignment="1" applyProtection="1">
      <alignment horizontal="center" vertical="center"/>
      <protection/>
    </xf>
    <xf numFmtId="0" fontId="3" fillId="0" borderId="15" xfId="0" applyFont="1" applyBorder="1" applyAlignment="1" applyProtection="1">
      <alignment horizontal="center" vertical="center" wrapText="1"/>
      <protection/>
    </xf>
    <xf numFmtId="1" fontId="53" fillId="45" borderId="15" xfId="0" applyNumberFormat="1" applyFont="1" applyFill="1" applyBorder="1" applyAlignment="1" applyProtection="1">
      <alignment horizontal="center" vertical="center"/>
      <protection locked="0"/>
    </xf>
    <xf numFmtId="0" fontId="3" fillId="0" borderId="15" xfId="0" applyFont="1" applyBorder="1" applyAlignment="1" applyProtection="1">
      <alignment horizontal="center" vertical="center"/>
      <protection/>
    </xf>
    <xf numFmtId="10" fontId="53" fillId="45" borderId="15" xfId="0" applyNumberFormat="1" applyFont="1" applyFill="1" applyBorder="1" applyAlignment="1" applyProtection="1">
      <alignment horizontal="center" vertical="center"/>
      <protection locked="0"/>
    </xf>
    <xf numFmtId="0" fontId="53" fillId="0" borderId="15" xfId="0" applyFont="1" applyBorder="1" applyAlignment="1" applyProtection="1">
      <alignment vertical="center"/>
      <protection/>
    </xf>
    <xf numFmtId="10" fontId="5" fillId="36" borderId="15" xfId="0" applyNumberFormat="1" applyFont="1" applyFill="1" applyBorder="1" applyAlignment="1" applyProtection="1">
      <alignment horizontal="center" vertical="center"/>
      <protection/>
    </xf>
    <xf numFmtId="0" fontId="5" fillId="0" borderId="11"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wrapText="1"/>
      <protection/>
    </xf>
    <xf numFmtId="0" fontId="5" fillId="0" borderId="13" xfId="0" applyFont="1" applyFill="1" applyBorder="1" applyAlignment="1" applyProtection="1">
      <alignment horizontal="left" vertical="center" wrapText="1"/>
      <protection/>
    </xf>
    <xf numFmtId="0" fontId="5" fillId="0" borderId="15" xfId="0" applyFont="1" applyFill="1" applyBorder="1" applyAlignment="1" applyProtection="1">
      <alignment horizontal="left" vertical="center" wrapText="1"/>
      <protection/>
    </xf>
    <xf numFmtId="165" fontId="53" fillId="0" borderId="15" xfId="0" applyNumberFormat="1" applyFont="1" applyBorder="1" applyAlignment="1" applyProtection="1">
      <alignment horizontal="center" vertical="center"/>
      <protection/>
    </xf>
    <xf numFmtId="0" fontId="54" fillId="39" borderId="15" xfId="0" applyFont="1" applyFill="1" applyBorder="1" applyAlignment="1" applyProtection="1">
      <alignment horizontal="center" vertical="center"/>
      <protection/>
    </xf>
    <xf numFmtId="0" fontId="53" fillId="0" borderId="34" xfId="0" applyFont="1" applyBorder="1" applyAlignment="1" applyProtection="1">
      <alignment horizontal="center"/>
      <protection/>
    </xf>
    <xf numFmtId="10" fontId="3" fillId="0" borderId="15" xfId="0" applyNumberFormat="1" applyFont="1" applyBorder="1" applyAlignment="1" applyProtection="1">
      <alignment horizontal="center" vertical="center"/>
      <protection/>
    </xf>
    <xf numFmtId="10" fontId="53" fillId="38" borderId="15" xfId="0" applyNumberFormat="1" applyFont="1" applyFill="1" applyBorder="1" applyAlignment="1" applyProtection="1">
      <alignment horizontal="center" vertical="center"/>
      <protection/>
    </xf>
    <xf numFmtId="0" fontId="53" fillId="0" borderId="15" xfId="0" applyFont="1" applyBorder="1" applyAlignment="1" applyProtection="1">
      <alignment horizontal="center"/>
      <protection/>
    </xf>
    <xf numFmtId="0" fontId="103" fillId="40" borderId="15" xfId="0" applyFont="1" applyFill="1" applyBorder="1" applyAlignment="1" applyProtection="1">
      <alignment horizontal="center"/>
      <protection/>
    </xf>
    <xf numFmtId="10" fontId="53" fillId="45" borderId="15" xfId="0" applyNumberFormat="1" applyFont="1" applyFill="1" applyBorder="1" applyAlignment="1" applyProtection="1">
      <alignment horizontal="center"/>
      <protection locked="0"/>
    </xf>
    <xf numFmtId="0" fontId="5" fillId="0" borderId="0" xfId="0" applyFont="1" applyFill="1" applyBorder="1" applyAlignment="1" applyProtection="1">
      <alignment horizontal="left" vertical="center" wrapText="1"/>
      <protection/>
    </xf>
    <xf numFmtId="0" fontId="3" fillId="38" borderId="15" xfId="0" applyFont="1" applyFill="1" applyBorder="1" applyAlignment="1" applyProtection="1">
      <alignment horizontal="center" vertical="center"/>
      <protection/>
    </xf>
    <xf numFmtId="0" fontId="3" fillId="52" borderId="15" xfId="0" applyFont="1" applyFill="1" applyBorder="1" applyAlignment="1" applyProtection="1">
      <alignment horizontal="center" vertical="center"/>
      <protection/>
    </xf>
    <xf numFmtId="0" fontId="3" fillId="33" borderId="15" xfId="0" applyFont="1" applyFill="1" applyBorder="1" applyAlignment="1" applyProtection="1">
      <alignment horizontal="center" vertical="center"/>
      <protection/>
    </xf>
    <xf numFmtId="0" fontId="53" fillId="45" borderId="15" xfId="0" applyFont="1" applyFill="1" applyBorder="1" applyAlignment="1" applyProtection="1">
      <alignment horizontal="center" vertical="center"/>
      <protection locked="0"/>
    </xf>
    <xf numFmtId="0" fontId="64" fillId="34" borderId="18" xfId="0" applyFont="1" applyFill="1" applyBorder="1" applyAlignment="1" applyProtection="1">
      <alignment horizontal="left" vertical="center" wrapText="1"/>
      <protection/>
    </xf>
    <xf numFmtId="0" fontId="64" fillId="34" borderId="14" xfId="0" applyFont="1" applyFill="1" applyBorder="1" applyAlignment="1" applyProtection="1">
      <alignment horizontal="left" vertical="center" wrapText="1"/>
      <protection/>
    </xf>
    <xf numFmtId="0" fontId="64" fillId="34" borderId="35" xfId="0" applyFont="1" applyFill="1" applyBorder="1" applyAlignment="1" applyProtection="1">
      <alignment horizontal="left" vertical="center" wrapText="1"/>
      <protection/>
    </xf>
    <xf numFmtId="0" fontId="64" fillId="34" borderId="20" xfId="0" applyFont="1" applyFill="1" applyBorder="1" applyAlignment="1" applyProtection="1">
      <alignment horizontal="left" vertical="center" wrapText="1"/>
      <protection/>
    </xf>
    <xf numFmtId="0" fontId="64" fillId="34" borderId="17" xfId="0" applyFont="1" applyFill="1" applyBorder="1" applyAlignment="1" applyProtection="1">
      <alignment horizontal="left" vertical="center" wrapText="1"/>
      <protection/>
    </xf>
    <xf numFmtId="0" fontId="64" fillId="34" borderId="21" xfId="0" applyFont="1" applyFill="1" applyBorder="1" applyAlignment="1" applyProtection="1">
      <alignment horizontal="left" vertical="center" wrapText="1"/>
      <protection/>
    </xf>
    <xf numFmtId="0" fontId="3" fillId="44" borderId="15" xfId="0" applyFont="1" applyFill="1" applyBorder="1" applyAlignment="1" applyProtection="1">
      <alignment horizontal="center" vertical="center"/>
      <protection/>
    </xf>
    <xf numFmtId="0" fontId="53" fillId="45" borderId="15" xfId="0" applyFont="1" applyFill="1" applyBorder="1" applyAlignment="1" applyProtection="1">
      <alignment vertical="center"/>
      <protection locked="0"/>
    </xf>
    <xf numFmtId="165" fontId="53" fillId="0" borderId="15" xfId="0" applyNumberFormat="1" applyFont="1" applyFill="1" applyBorder="1" applyAlignment="1" applyProtection="1">
      <alignment horizontal="center" vertical="center"/>
      <protection/>
    </xf>
    <xf numFmtId="0" fontId="53" fillId="0" borderId="15" xfId="0" applyFont="1" applyFill="1" applyBorder="1" applyAlignment="1" applyProtection="1">
      <alignment horizontal="center" vertical="center"/>
      <protection/>
    </xf>
    <xf numFmtId="165" fontId="53" fillId="43" borderId="15" xfId="0" applyNumberFormat="1" applyFont="1" applyFill="1" applyBorder="1" applyAlignment="1" applyProtection="1">
      <alignment horizontal="center" vertical="center"/>
      <protection/>
    </xf>
    <xf numFmtId="0" fontId="53" fillId="33" borderId="15" xfId="0" applyFont="1" applyFill="1" applyBorder="1" applyAlignment="1" applyProtection="1">
      <alignment horizontal="center" vertical="center"/>
      <protection/>
    </xf>
    <xf numFmtId="168" fontId="53" fillId="45" borderId="15" xfId="0" applyNumberFormat="1" applyFont="1" applyFill="1" applyBorder="1" applyAlignment="1" applyProtection="1">
      <alignment horizontal="center" vertical="center"/>
      <protection locked="0"/>
    </xf>
    <xf numFmtId="10" fontId="3" fillId="37" borderId="15" xfId="0" applyNumberFormat="1" applyFont="1" applyFill="1" applyBorder="1" applyAlignment="1" applyProtection="1">
      <alignment horizontal="center" vertical="center"/>
      <protection/>
    </xf>
    <xf numFmtId="0" fontId="3" fillId="53" borderId="15" xfId="0" applyFont="1" applyFill="1" applyBorder="1" applyAlignment="1" applyProtection="1">
      <alignment horizontal="center" vertical="center"/>
      <protection/>
    </xf>
    <xf numFmtId="0" fontId="53" fillId="37" borderId="15" xfId="0" applyFont="1" applyFill="1" applyBorder="1" applyAlignment="1" applyProtection="1">
      <alignment horizontal="center" vertical="center"/>
      <protection/>
    </xf>
    <xf numFmtId="0" fontId="102" fillId="37" borderId="15" xfId="0" applyFont="1" applyFill="1" applyBorder="1" applyAlignment="1" applyProtection="1">
      <alignment horizontal="center" vertical="center"/>
      <protection/>
    </xf>
    <xf numFmtId="10" fontId="53" fillId="43" borderId="15" xfId="0" applyNumberFormat="1" applyFont="1" applyFill="1" applyBorder="1" applyAlignment="1" applyProtection="1">
      <alignment horizontal="center" vertical="center"/>
      <protection/>
    </xf>
    <xf numFmtId="0" fontId="8" fillId="0" borderId="15" xfId="0" applyFont="1" applyFill="1" applyBorder="1" applyAlignment="1" applyProtection="1">
      <alignment horizontal="left" vertical="center"/>
      <protection/>
    </xf>
    <xf numFmtId="0" fontId="53" fillId="0" borderId="15" xfId="0" applyFont="1" applyBorder="1" applyAlignment="1" applyProtection="1">
      <alignment horizontal="left" vertical="center"/>
      <protection/>
    </xf>
    <xf numFmtId="0" fontId="104" fillId="34" borderId="18" xfId="0" applyFont="1" applyFill="1" applyBorder="1" applyAlignment="1" applyProtection="1">
      <alignment vertical="center" wrapText="1"/>
      <protection/>
    </xf>
    <xf numFmtId="0" fontId="104" fillId="34" borderId="14" xfId="0" applyFont="1" applyFill="1" applyBorder="1" applyAlignment="1" applyProtection="1">
      <alignment vertical="center" wrapText="1"/>
      <protection/>
    </xf>
    <xf numFmtId="0" fontId="104" fillId="34" borderId="35" xfId="0" applyFont="1" applyFill="1" applyBorder="1" applyAlignment="1" applyProtection="1">
      <alignment vertical="center" wrapText="1"/>
      <protection/>
    </xf>
    <xf numFmtId="0" fontId="104" fillId="34" borderId="20" xfId="0" applyFont="1" applyFill="1" applyBorder="1" applyAlignment="1" applyProtection="1">
      <alignment vertical="center" wrapText="1"/>
      <protection/>
    </xf>
    <xf numFmtId="0" fontId="104" fillId="34" borderId="17" xfId="0" applyFont="1" applyFill="1" applyBorder="1" applyAlignment="1" applyProtection="1">
      <alignment vertical="center" wrapText="1"/>
      <protection/>
    </xf>
    <xf numFmtId="0" fontId="104" fillId="34" borderId="21" xfId="0" applyFont="1" applyFill="1" applyBorder="1" applyAlignment="1" applyProtection="1">
      <alignment vertical="center" wrapText="1"/>
      <protection/>
    </xf>
    <xf numFmtId="0" fontId="5" fillId="0" borderId="18"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35" xfId="0" applyFont="1" applyFill="1" applyBorder="1" applyAlignment="1" applyProtection="1">
      <alignment horizontal="center" vertical="center" wrapText="1"/>
      <protection/>
    </xf>
    <xf numFmtId="0" fontId="5" fillId="0" borderId="36"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37"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3" fillId="54" borderId="15" xfId="0" applyFont="1" applyFill="1" applyBorder="1" applyAlignment="1" applyProtection="1">
      <alignment horizontal="center" vertical="center"/>
      <protection/>
    </xf>
    <xf numFmtId="0" fontId="53" fillId="55" borderId="15" xfId="0" applyFont="1" applyFill="1" applyBorder="1" applyAlignment="1" applyProtection="1">
      <alignment horizontal="center" vertical="center"/>
      <protection/>
    </xf>
    <xf numFmtId="14" fontId="53" fillId="45" borderId="15" xfId="0" applyNumberFormat="1" applyFont="1" applyFill="1" applyBorder="1" applyAlignment="1" applyProtection="1">
      <alignment horizontal="center"/>
      <protection locked="0"/>
    </xf>
    <xf numFmtId="0" fontId="53" fillId="56" borderId="15" xfId="0" applyFont="1" applyFill="1" applyBorder="1" applyAlignment="1" applyProtection="1">
      <alignment horizontal="left" vertical="center"/>
      <protection/>
    </xf>
    <xf numFmtId="0" fontId="5" fillId="57" borderId="15" xfId="0" applyFont="1" applyFill="1" applyBorder="1" applyAlignment="1" applyProtection="1">
      <alignment horizontal="center" vertical="center"/>
      <protection/>
    </xf>
    <xf numFmtId="0" fontId="53" fillId="33" borderId="15" xfId="0" applyFont="1" applyFill="1" applyBorder="1" applyAlignment="1" applyProtection="1">
      <alignment horizontal="center"/>
      <protection/>
    </xf>
    <xf numFmtId="165" fontId="53" fillId="45" borderId="15" xfId="0" applyNumberFormat="1" applyFont="1" applyFill="1" applyBorder="1" applyAlignment="1" applyProtection="1">
      <alignment horizontal="center" vertical="center"/>
      <protection locked="0"/>
    </xf>
    <xf numFmtId="0" fontId="53" fillId="0" borderId="15" xfId="0" applyFont="1" applyFill="1" applyBorder="1" applyAlignment="1" applyProtection="1">
      <alignment horizontal="left" vertical="center"/>
      <protection/>
    </xf>
    <xf numFmtId="168" fontId="8" fillId="0" borderId="15" xfId="46" applyNumberFormat="1" applyFont="1" applyFill="1" applyBorder="1" applyAlignment="1" applyProtection="1">
      <alignment horizontal="center" vertical="center"/>
      <protection/>
    </xf>
    <xf numFmtId="0" fontId="5" fillId="0" borderId="18" xfId="0" applyFont="1" applyFill="1" applyBorder="1" applyAlignment="1" applyProtection="1">
      <alignment horizontal="left" wrapText="1"/>
      <protection/>
    </xf>
    <xf numFmtId="0" fontId="5" fillId="0" borderId="14" xfId="0" applyFont="1" applyFill="1" applyBorder="1" applyAlignment="1" applyProtection="1">
      <alignment horizontal="left" wrapText="1"/>
      <protection/>
    </xf>
    <xf numFmtId="0" fontId="5" fillId="0" borderId="35" xfId="0" applyFont="1" applyFill="1" applyBorder="1" applyAlignment="1" applyProtection="1">
      <alignment horizontal="left" wrapText="1"/>
      <protection/>
    </xf>
    <xf numFmtId="0" fontId="5" fillId="0" borderId="36"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5" fillId="0" borderId="37" xfId="0" applyFont="1" applyFill="1" applyBorder="1" applyAlignment="1" applyProtection="1">
      <alignment horizontal="left" wrapText="1"/>
      <protection/>
    </xf>
    <xf numFmtId="0" fontId="5" fillId="0" borderId="20" xfId="0" applyFont="1" applyFill="1" applyBorder="1" applyAlignment="1" applyProtection="1">
      <alignment horizontal="left" wrapText="1"/>
      <protection/>
    </xf>
    <xf numFmtId="0" fontId="5" fillId="0" borderId="17" xfId="0" applyFont="1" applyFill="1" applyBorder="1" applyAlignment="1" applyProtection="1">
      <alignment horizontal="left" wrapText="1"/>
      <protection/>
    </xf>
    <xf numFmtId="0" fontId="5" fillId="0" borderId="21" xfId="0" applyFont="1" applyFill="1" applyBorder="1" applyAlignment="1" applyProtection="1">
      <alignment horizontal="left" wrapText="1"/>
      <protection/>
    </xf>
    <xf numFmtId="0" fontId="5" fillId="0" borderId="18"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wrapText="1"/>
      <protection/>
    </xf>
    <xf numFmtId="0" fontId="5" fillId="0" borderId="35" xfId="0" applyFont="1" applyFill="1" applyBorder="1" applyAlignment="1" applyProtection="1">
      <alignment horizontal="left" vertical="center" wrapText="1"/>
      <protection/>
    </xf>
    <xf numFmtId="0" fontId="5" fillId="0" borderId="36" xfId="0" applyFont="1" applyFill="1" applyBorder="1" applyAlignment="1" applyProtection="1">
      <alignment horizontal="left" vertical="center" wrapText="1"/>
      <protection/>
    </xf>
    <xf numFmtId="0" fontId="5" fillId="0" borderId="37" xfId="0" applyFont="1" applyFill="1" applyBorder="1" applyAlignment="1" applyProtection="1">
      <alignment horizontal="left" vertical="center" wrapText="1"/>
      <protection/>
    </xf>
    <xf numFmtId="0" fontId="5" fillId="0" borderId="20" xfId="0" applyFont="1" applyFill="1" applyBorder="1" applyAlignment="1" applyProtection="1">
      <alignment horizontal="left" vertical="center" wrapText="1"/>
      <protection/>
    </xf>
    <xf numFmtId="0" fontId="5" fillId="0" borderId="17" xfId="0" applyFont="1" applyFill="1" applyBorder="1" applyAlignment="1" applyProtection="1">
      <alignment horizontal="left" vertical="center" wrapText="1"/>
      <protection/>
    </xf>
    <xf numFmtId="0" fontId="5" fillId="0" borderId="21" xfId="0" applyFont="1" applyFill="1" applyBorder="1" applyAlignment="1" applyProtection="1">
      <alignment horizontal="left" vertical="center" wrapText="1"/>
      <protection/>
    </xf>
    <xf numFmtId="168" fontId="53" fillId="43" borderId="15" xfId="0" applyNumberFormat="1" applyFont="1" applyFill="1" applyBorder="1" applyAlignment="1" applyProtection="1">
      <alignment horizontal="center" vertical="center"/>
      <protection/>
    </xf>
    <xf numFmtId="0" fontId="8" fillId="0" borderId="15" xfId="0" applyFont="1" applyFill="1" applyBorder="1" applyAlignment="1" applyProtection="1">
      <alignment horizontal="center" vertical="center" wrapText="1"/>
      <protection/>
    </xf>
    <xf numFmtId="171" fontId="56" fillId="34" borderId="0" xfId="0" applyNumberFormat="1" applyFont="1" applyFill="1" applyBorder="1" applyAlignment="1" applyProtection="1">
      <alignment horizontal="left" vertical="center"/>
      <protection/>
    </xf>
    <xf numFmtId="0" fontId="53" fillId="0" borderId="10" xfId="0" applyFont="1" applyBorder="1" applyAlignment="1">
      <alignment vertical="center"/>
    </xf>
    <xf numFmtId="0" fontId="54" fillId="39" borderId="10" xfId="0" applyFont="1" applyFill="1" applyBorder="1" applyAlignment="1">
      <alignment horizontal="center" vertical="center"/>
    </xf>
    <xf numFmtId="0" fontId="53" fillId="0" borderId="34" xfId="0" applyFont="1" applyBorder="1" applyAlignment="1">
      <alignment horizontal="center"/>
    </xf>
    <xf numFmtId="10" fontId="53" fillId="35" borderId="10" xfId="0" applyNumberFormat="1" applyFont="1" applyFill="1" applyBorder="1" applyAlignment="1">
      <alignment horizontal="center"/>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3" fillId="0" borderId="10" xfId="0" applyFont="1" applyBorder="1" applyAlignment="1">
      <alignment horizontal="center" vertical="center"/>
    </xf>
    <xf numFmtId="10" fontId="53" fillId="35" borderId="10" xfId="0" applyNumberFormat="1" applyFont="1" applyFill="1" applyBorder="1" applyAlignment="1">
      <alignment horizontal="center" vertical="center"/>
    </xf>
    <xf numFmtId="165" fontId="53" fillId="0" borderId="10" xfId="0" applyNumberFormat="1" applyFont="1" applyBorder="1" applyAlignment="1">
      <alignment horizontal="center" vertical="center"/>
    </xf>
    <xf numFmtId="10" fontId="53" fillId="38" borderId="10" xfId="0" applyNumberFormat="1" applyFont="1" applyFill="1" applyBorder="1" applyAlignment="1">
      <alignment horizontal="center" vertical="center"/>
    </xf>
    <xf numFmtId="0" fontId="3" fillId="36" borderId="10" xfId="0" applyFont="1" applyFill="1" applyBorder="1" applyAlignment="1">
      <alignment horizontal="center" vertical="center"/>
    </xf>
    <xf numFmtId="10" fontId="5" fillId="36" borderId="10" xfId="0" applyNumberFormat="1" applyFont="1" applyFill="1" applyBorder="1" applyAlignment="1">
      <alignment horizontal="center" vertical="center"/>
    </xf>
    <xf numFmtId="0" fontId="5" fillId="0" borderId="18"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3" fillId="35" borderId="10" xfId="0" applyFont="1" applyFill="1" applyBorder="1" applyAlignment="1">
      <alignment horizontal="center" vertical="center"/>
    </xf>
    <xf numFmtId="0" fontId="3" fillId="0" borderId="10" xfId="0" applyFont="1" applyBorder="1" applyAlignment="1">
      <alignment horizontal="center" vertical="center"/>
    </xf>
    <xf numFmtId="10" fontId="3" fillId="0" borderId="10" xfId="0" applyNumberFormat="1" applyFont="1" applyBorder="1" applyAlignment="1">
      <alignment horizontal="center" vertical="center"/>
    </xf>
    <xf numFmtId="0" fontId="5" fillId="0" borderId="2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3" fillId="50" borderId="10" xfId="0" applyFont="1" applyFill="1" applyBorder="1" applyAlignment="1">
      <alignment horizontal="center"/>
    </xf>
    <xf numFmtId="0" fontId="3" fillId="38" borderId="10" xfId="0" applyFont="1" applyFill="1" applyBorder="1" applyAlignment="1">
      <alignment horizontal="center" vertical="center"/>
    </xf>
    <xf numFmtId="0" fontId="3" fillId="52" borderId="10" xfId="0" applyFont="1" applyFill="1" applyBorder="1" applyAlignment="1">
      <alignment horizontal="center" vertical="center"/>
    </xf>
    <xf numFmtId="0" fontId="53" fillId="0" borderId="38" xfId="0" applyFont="1" applyBorder="1" applyAlignment="1">
      <alignment horizontal="center" vertical="center"/>
    </xf>
    <xf numFmtId="0" fontId="53" fillId="0" borderId="39" xfId="0" applyFont="1" applyBorder="1" applyAlignment="1">
      <alignment horizontal="center" vertical="center"/>
    </xf>
    <xf numFmtId="0" fontId="53" fillId="0" borderId="40" xfId="0" applyFont="1" applyBorder="1" applyAlignment="1">
      <alignment horizontal="center" vertical="center"/>
    </xf>
    <xf numFmtId="0" fontId="3" fillId="44" borderId="41" xfId="0" applyFont="1" applyFill="1" applyBorder="1" applyAlignment="1">
      <alignment horizontal="center" vertical="center"/>
    </xf>
    <xf numFmtId="0" fontId="3" fillId="44" borderId="34" xfId="0" applyFont="1" applyFill="1" applyBorder="1" applyAlignment="1">
      <alignment horizontal="center" vertical="center"/>
    </xf>
    <xf numFmtId="0" fontId="3" fillId="44" borderId="42" xfId="0" applyFont="1" applyFill="1" applyBorder="1" applyAlignment="1">
      <alignment horizontal="center" vertical="center"/>
    </xf>
    <xf numFmtId="0" fontId="53" fillId="35" borderId="10" xfId="0" applyFont="1" applyFill="1" applyBorder="1" applyAlignment="1">
      <alignment vertical="center"/>
    </xf>
    <xf numFmtId="0" fontId="3" fillId="37" borderId="10" xfId="0" applyFont="1" applyFill="1" applyBorder="1" applyAlignment="1">
      <alignment horizontal="center" vertical="center"/>
    </xf>
    <xf numFmtId="0" fontId="53" fillId="0" borderId="10" xfId="0" applyFont="1" applyBorder="1" applyAlignment="1">
      <alignment horizontal="center"/>
    </xf>
    <xf numFmtId="166" fontId="53" fillId="35" borderId="10" xfId="0" applyNumberFormat="1" applyFont="1" applyFill="1" applyBorder="1" applyAlignment="1">
      <alignment horizontal="center" vertical="center"/>
    </xf>
    <xf numFmtId="0" fontId="3" fillId="33" borderId="10" xfId="0" applyFont="1" applyFill="1" applyBorder="1" applyAlignment="1">
      <alignment horizontal="center" vertical="center"/>
    </xf>
    <xf numFmtId="10" fontId="5" fillId="43" borderId="10" xfId="0" applyNumberFormat="1" applyFont="1" applyFill="1" applyBorder="1" applyAlignment="1">
      <alignment horizontal="center" vertical="center"/>
    </xf>
    <xf numFmtId="10" fontId="3" fillId="37" borderId="10" xfId="0" applyNumberFormat="1" applyFont="1" applyFill="1" applyBorder="1" applyAlignment="1">
      <alignment horizontal="center" vertical="center"/>
    </xf>
    <xf numFmtId="0" fontId="5" fillId="0" borderId="3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3" fillId="0" borderId="10" xfId="0" applyFont="1" applyBorder="1" applyAlignment="1">
      <alignment horizontal="left" vertical="center" wrapText="1"/>
    </xf>
    <xf numFmtId="0" fontId="53" fillId="0" borderId="10" xfId="0" applyFont="1" applyBorder="1" applyAlignment="1">
      <alignment horizontal="left" vertical="center"/>
    </xf>
    <xf numFmtId="0" fontId="53" fillId="35" borderId="38" xfId="0" applyFont="1" applyFill="1" applyBorder="1" applyAlignment="1">
      <alignment horizontal="center" vertical="center"/>
    </xf>
    <xf numFmtId="0" fontId="53" fillId="35" borderId="40" xfId="0" applyFont="1" applyFill="1" applyBorder="1" applyAlignment="1">
      <alignment horizontal="center" vertical="center"/>
    </xf>
    <xf numFmtId="10" fontId="3" fillId="36" borderId="10" xfId="0" applyNumberFormat="1" applyFont="1" applyFill="1" applyBorder="1" applyAlignment="1">
      <alignment horizontal="center" vertical="center"/>
    </xf>
    <xf numFmtId="0" fontId="102" fillId="58" borderId="10" xfId="0" applyFont="1" applyFill="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8" fillId="33" borderId="38" xfId="0" applyFont="1" applyFill="1" applyBorder="1" applyAlignment="1">
      <alignment horizontal="center" vertical="center"/>
    </xf>
    <xf numFmtId="0" fontId="8" fillId="33" borderId="39" xfId="0" applyFont="1" applyFill="1" applyBorder="1" applyAlignment="1">
      <alignment horizontal="center" vertical="center"/>
    </xf>
    <xf numFmtId="0" fontId="8" fillId="33" borderId="40" xfId="0" applyFont="1" applyFill="1" applyBorder="1" applyAlignment="1">
      <alignment horizontal="center" vertical="center"/>
    </xf>
    <xf numFmtId="165" fontId="53" fillId="0" borderId="10" xfId="0" applyNumberFormat="1" applyFont="1" applyFill="1" applyBorder="1" applyAlignment="1">
      <alignment horizontal="center" vertical="center"/>
    </xf>
    <xf numFmtId="0" fontId="53" fillId="0" borderId="10" xfId="0" applyFont="1" applyFill="1" applyBorder="1" applyAlignment="1">
      <alignment horizontal="center" vertical="center"/>
    </xf>
    <xf numFmtId="168" fontId="53" fillId="35" borderId="10" xfId="0" applyNumberFormat="1" applyFont="1" applyFill="1" applyBorder="1" applyAlignment="1">
      <alignment horizontal="center" vertical="center"/>
    </xf>
    <xf numFmtId="165" fontId="53" fillId="35" borderId="10" xfId="0" applyNumberFormat="1" applyFont="1" applyFill="1" applyBorder="1" applyAlignment="1">
      <alignment horizontal="center" vertical="center"/>
    </xf>
    <xf numFmtId="0" fontId="66" fillId="0" borderId="18"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35" xfId="0" applyFont="1" applyFill="1" applyBorder="1" applyAlignment="1">
      <alignment horizontal="center" vertical="center" wrapText="1"/>
    </xf>
    <xf numFmtId="0" fontId="66" fillId="0" borderId="36"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6" fillId="0" borderId="37" xfId="0" applyFont="1" applyFill="1" applyBorder="1" applyAlignment="1">
      <alignment horizontal="center" vertical="center" wrapText="1"/>
    </xf>
    <xf numFmtId="0" fontId="53" fillId="33" borderId="10" xfId="0" applyFont="1" applyFill="1" applyBorder="1" applyAlignment="1">
      <alignment horizontal="center" vertical="center"/>
    </xf>
    <xf numFmtId="168" fontId="53" fillId="0" borderId="10" xfId="0" applyNumberFormat="1" applyFont="1" applyFill="1" applyBorder="1" applyAlignment="1">
      <alignment horizontal="center" vertical="center"/>
    </xf>
    <xf numFmtId="169" fontId="53" fillId="35" borderId="10" xfId="0" applyNumberFormat="1"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3" fillId="0" borderId="34" xfId="0" applyFont="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64" fillId="40" borderId="18" xfId="0" applyFont="1" applyFill="1" applyBorder="1" applyAlignment="1">
      <alignment horizontal="left" vertical="center" wrapText="1"/>
    </xf>
    <xf numFmtId="0" fontId="64" fillId="40" borderId="14" xfId="0" applyFont="1" applyFill="1" applyBorder="1" applyAlignment="1">
      <alignment horizontal="left" vertical="center" wrapText="1"/>
    </xf>
    <xf numFmtId="0" fontId="64" fillId="40" borderId="35" xfId="0" applyFont="1" applyFill="1" applyBorder="1" applyAlignment="1">
      <alignment horizontal="left" vertical="center" wrapText="1"/>
    </xf>
    <xf numFmtId="0" fontId="64" fillId="40" borderId="20" xfId="0" applyFont="1" applyFill="1" applyBorder="1" applyAlignment="1">
      <alignment horizontal="left" vertical="center" wrapText="1"/>
    </xf>
    <xf numFmtId="0" fontId="64" fillId="40" borderId="17" xfId="0" applyFont="1" applyFill="1" applyBorder="1" applyAlignment="1">
      <alignment horizontal="left" vertical="center" wrapText="1"/>
    </xf>
    <xf numFmtId="0" fontId="64" fillId="40" borderId="21" xfId="0" applyFont="1" applyFill="1" applyBorder="1" applyAlignment="1">
      <alignment horizontal="left" vertical="center" wrapText="1"/>
    </xf>
    <xf numFmtId="10" fontId="53" fillId="0" borderId="10" xfId="0" applyNumberFormat="1" applyFont="1" applyFill="1" applyBorder="1" applyAlignment="1">
      <alignment horizontal="center" vertical="center"/>
    </xf>
    <xf numFmtId="0" fontId="104" fillId="40" borderId="18" xfId="0" applyFont="1" applyFill="1" applyBorder="1" applyAlignment="1">
      <alignment vertical="center" wrapText="1"/>
    </xf>
    <xf numFmtId="0" fontId="104" fillId="40" borderId="14" xfId="0" applyFont="1" applyFill="1" applyBorder="1" applyAlignment="1">
      <alignment vertical="center" wrapText="1"/>
    </xf>
    <xf numFmtId="0" fontId="104" fillId="40" borderId="35" xfId="0" applyFont="1" applyFill="1" applyBorder="1" applyAlignment="1">
      <alignment vertical="center" wrapText="1"/>
    </xf>
    <xf numFmtId="0" fontId="104" fillId="40" borderId="20" xfId="0" applyFont="1" applyFill="1" applyBorder="1" applyAlignment="1">
      <alignment vertical="center" wrapText="1"/>
    </xf>
    <xf numFmtId="0" fontId="104" fillId="40" borderId="17" xfId="0" applyFont="1" applyFill="1" applyBorder="1" applyAlignment="1">
      <alignment vertical="center" wrapText="1"/>
    </xf>
    <xf numFmtId="0" fontId="104" fillId="40" borderId="21" xfId="0" applyFont="1" applyFill="1" applyBorder="1" applyAlignment="1">
      <alignment vertical="center" wrapText="1"/>
    </xf>
    <xf numFmtId="0" fontId="102" fillId="37" borderId="10" xfId="0" applyFont="1" applyFill="1" applyBorder="1" applyAlignment="1">
      <alignment horizontal="center" vertical="center"/>
    </xf>
    <xf numFmtId="0" fontId="53" fillId="37" borderId="10" xfId="0" applyFont="1" applyFill="1" applyBorder="1" applyAlignment="1">
      <alignment horizontal="center" vertical="center"/>
    </xf>
    <xf numFmtId="0" fontId="3" fillId="53" borderId="10" xfId="0" applyFont="1" applyFill="1" applyBorder="1" applyAlignment="1">
      <alignment horizontal="center" vertical="center"/>
    </xf>
    <xf numFmtId="0" fontId="53" fillId="0" borderId="10" xfId="0" applyFont="1" applyFill="1" applyBorder="1" applyAlignment="1">
      <alignment horizontal="left" vertical="center"/>
    </xf>
    <xf numFmtId="10" fontId="8" fillId="0" borderId="10" xfId="72" applyNumberFormat="1" applyFont="1" applyFill="1" applyBorder="1" applyAlignment="1">
      <alignment horizontal="center" vertical="center"/>
    </xf>
    <xf numFmtId="10" fontId="53" fillId="0" borderId="10" xfId="0" applyNumberFormat="1" applyFont="1" applyBorder="1" applyAlignment="1">
      <alignment horizontal="center" vertical="center"/>
    </xf>
    <xf numFmtId="0" fontId="5" fillId="0" borderId="18" xfId="0" applyFont="1" applyFill="1" applyBorder="1" applyAlignment="1">
      <alignment horizontal="left" wrapText="1"/>
    </xf>
    <xf numFmtId="0" fontId="5" fillId="0" borderId="14" xfId="0" applyFont="1" applyFill="1" applyBorder="1" applyAlignment="1">
      <alignment horizontal="left" wrapText="1"/>
    </xf>
    <xf numFmtId="0" fontId="5" fillId="0" borderId="35" xfId="0" applyFont="1" applyFill="1" applyBorder="1" applyAlignment="1">
      <alignment horizontal="left" wrapText="1"/>
    </xf>
    <xf numFmtId="0" fontId="5" fillId="0" borderId="36" xfId="0" applyFont="1" applyFill="1" applyBorder="1" applyAlignment="1">
      <alignment horizontal="left" wrapText="1"/>
    </xf>
    <xf numFmtId="0" fontId="5" fillId="0" borderId="0" xfId="0" applyFont="1" applyFill="1" applyBorder="1" applyAlignment="1">
      <alignment horizontal="left" wrapText="1"/>
    </xf>
    <xf numFmtId="0" fontId="5" fillId="0" borderId="37" xfId="0" applyFont="1" applyFill="1" applyBorder="1" applyAlignment="1">
      <alignment horizontal="left" wrapText="1"/>
    </xf>
    <xf numFmtId="0" fontId="5" fillId="0" borderId="20" xfId="0" applyFont="1" applyFill="1" applyBorder="1" applyAlignment="1">
      <alignment horizontal="left" wrapText="1"/>
    </xf>
    <xf numFmtId="0" fontId="5" fillId="0" borderId="17" xfId="0" applyFont="1" applyFill="1" applyBorder="1" applyAlignment="1">
      <alignment horizontal="left" wrapText="1"/>
    </xf>
    <xf numFmtId="0" fontId="5" fillId="0" borderId="21" xfId="0" applyFont="1" applyFill="1" applyBorder="1" applyAlignment="1">
      <alignment horizontal="left" wrapText="1"/>
    </xf>
    <xf numFmtId="0" fontId="8" fillId="0" borderId="10" xfId="0" applyFont="1" applyFill="1" applyBorder="1" applyAlignment="1">
      <alignment horizontal="left" vertical="center"/>
    </xf>
    <xf numFmtId="0" fontId="53" fillId="0" borderId="38" xfId="0" applyFont="1" applyBorder="1" applyAlignment="1">
      <alignment horizontal="left" vertical="center"/>
    </xf>
    <xf numFmtId="0" fontId="53" fillId="0" borderId="39" xfId="0" applyFont="1" applyBorder="1" applyAlignment="1">
      <alignment horizontal="left" vertical="center"/>
    </xf>
    <xf numFmtId="0" fontId="53" fillId="0" borderId="40" xfId="0" applyFont="1" applyBorder="1" applyAlignment="1">
      <alignment horizontal="left" vertical="center"/>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168" fontId="8" fillId="0" borderId="10" xfId="46" applyNumberFormat="1" applyFont="1" applyFill="1" applyBorder="1" applyAlignment="1">
      <alignment horizontal="center" vertical="center"/>
    </xf>
    <xf numFmtId="0" fontId="3" fillId="57" borderId="43" xfId="0" applyFont="1" applyFill="1" applyBorder="1" applyAlignment="1">
      <alignment horizontal="center" vertical="center"/>
    </xf>
    <xf numFmtId="0" fontId="3" fillId="57" borderId="44" xfId="0" applyFont="1" applyFill="1" applyBorder="1" applyAlignment="1">
      <alignment horizontal="center" vertical="center"/>
    </xf>
    <xf numFmtId="0" fontId="3" fillId="57" borderId="45" xfId="0" applyFont="1" applyFill="1" applyBorder="1" applyAlignment="1">
      <alignment horizontal="center" vertical="center"/>
    </xf>
    <xf numFmtId="0" fontId="53" fillId="55" borderId="10" xfId="0" applyFont="1" applyFill="1" applyBorder="1" applyAlignment="1">
      <alignment horizontal="center" vertical="center"/>
    </xf>
    <xf numFmtId="0" fontId="53" fillId="56" borderId="38" xfId="0" applyFont="1" applyFill="1" applyBorder="1" applyAlignment="1">
      <alignment horizontal="left" vertical="center"/>
    </xf>
    <xf numFmtId="0" fontId="53" fillId="56" borderId="39" xfId="0" applyFont="1" applyFill="1" applyBorder="1" applyAlignment="1">
      <alignment horizontal="left" vertical="center"/>
    </xf>
    <xf numFmtId="0" fontId="53" fillId="56" borderId="40" xfId="0" applyFont="1" applyFill="1" applyBorder="1" applyAlignment="1">
      <alignment horizontal="left" vertical="center"/>
    </xf>
    <xf numFmtId="0" fontId="53" fillId="33" borderId="34" xfId="0" applyFont="1" applyFill="1" applyBorder="1" applyAlignment="1">
      <alignment horizontal="center"/>
    </xf>
    <xf numFmtId="165" fontId="8" fillId="47" borderId="16" xfId="0" applyNumberFormat="1" applyFont="1" applyFill="1" applyBorder="1" applyAlignment="1" applyProtection="1">
      <alignment horizontal="center" vertical="center"/>
      <protection/>
    </xf>
    <xf numFmtId="165" fontId="8" fillId="47" borderId="33" xfId="0" applyNumberFormat="1" applyFont="1" applyFill="1" applyBorder="1" applyAlignment="1" applyProtection="1">
      <alignment horizontal="center" vertical="center"/>
      <protection/>
    </xf>
    <xf numFmtId="165" fontId="8" fillId="47" borderId="19" xfId="0" applyNumberFormat="1" applyFont="1" applyFill="1" applyBorder="1" applyAlignment="1" applyProtection="1">
      <alignment horizontal="center" vertical="center"/>
      <protection/>
    </xf>
    <xf numFmtId="0" fontId="5" fillId="47" borderId="11" xfId="0" applyFont="1" applyFill="1" applyBorder="1" applyAlignment="1" applyProtection="1">
      <alignment horizontal="center" vertical="center"/>
      <protection/>
    </xf>
    <xf numFmtId="0" fontId="5" fillId="47" borderId="12" xfId="0" applyFont="1" applyFill="1" applyBorder="1" applyAlignment="1" applyProtection="1">
      <alignment horizontal="center" vertical="center"/>
      <protection/>
    </xf>
    <xf numFmtId="0" fontId="5" fillId="47" borderId="13" xfId="0" applyFont="1" applyFill="1" applyBorder="1" applyAlignment="1" applyProtection="1">
      <alignment horizontal="center" vertical="center"/>
      <protection/>
    </xf>
    <xf numFmtId="0" fontId="8" fillId="47" borderId="11" xfId="0" applyFont="1" applyFill="1" applyBorder="1" applyAlignment="1" applyProtection="1">
      <alignment horizontal="left" vertical="center"/>
      <protection/>
    </xf>
    <xf numFmtId="0" fontId="8" fillId="47" borderId="12" xfId="0" applyFont="1" applyFill="1" applyBorder="1" applyAlignment="1" applyProtection="1">
      <alignment horizontal="left" vertical="center"/>
      <protection/>
    </xf>
    <xf numFmtId="0" fontId="8" fillId="47" borderId="16" xfId="0" applyFont="1" applyFill="1" applyBorder="1" applyAlignment="1" applyProtection="1">
      <alignment horizontal="center" vertical="center"/>
      <protection/>
    </xf>
    <xf numFmtId="0" fontId="8" fillId="47" borderId="33" xfId="0" applyFont="1" applyFill="1" applyBorder="1" applyAlignment="1" applyProtection="1">
      <alignment horizontal="center" vertical="center"/>
      <protection/>
    </xf>
    <xf numFmtId="0" fontId="8" fillId="47" borderId="19" xfId="0" applyFont="1" applyFill="1" applyBorder="1" applyAlignment="1" applyProtection="1">
      <alignment horizontal="center" vertical="center"/>
      <protection/>
    </xf>
    <xf numFmtId="165" fontId="53" fillId="0" borderId="11" xfId="0" applyNumberFormat="1" applyFont="1" applyBorder="1" applyAlignment="1" applyProtection="1">
      <alignment horizontal="center" vertical="center"/>
      <protection/>
    </xf>
    <xf numFmtId="165" fontId="53" fillId="0" borderId="12" xfId="0" applyNumberFormat="1" applyFont="1" applyBorder="1" applyAlignment="1" applyProtection="1">
      <alignment horizontal="center" vertical="center"/>
      <protection/>
    </xf>
    <xf numFmtId="0" fontId="8" fillId="47" borderId="13" xfId="0" applyFont="1" applyFill="1" applyBorder="1" applyAlignment="1" applyProtection="1">
      <alignment horizontal="left" vertical="center"/>
      <protection/>
    </xf>
    <xf numFmtId="0" fontId="8" fillId="47" borderId="15" xfId="0" applyFont="1" applyFill="1" applyBorder="1" applyAlignment="1" applyProtection="1">
      <alignment horizontal="left" vertical="center"/>
      <protection/>
    </xf>
    <xf numFmtId="0" fontId="16" fillId="41" borderId="15" xfId="0" applyFont="1" applyFill="1" applyBorder="1" applyAlignment="1" applyProtection="1">
      <alignment horizontal="center" vertical="center"/>
      <protection/>
    </xf>
    <xf numFmtId="0" fontId="101" fillId="40" borderId="15" xfId="0" applyFont="1" applyFill="1" applyBorder="1" applyAlignment="1" applyProtection="1">
      <alignment horizontal="center"/>
      <protection/>
    </xf>
    <xf numFmtId="0" fontId="17" fillId="34" borderId="15" xfId="0" applyFont="1" applyFill="1" applyBorder="1" applyAlignment="1" applyProtection="1">
      <alignment horizontal="center"/>
      <protection/>
    </xf>
    <xf numFmtId="0" fontId="16" fillId="48" borderId="16" xfId="62" applyFont="1" applyFill="1" applyBorder="1" applyAlignment="1" applyProtection="1">
      <alignment horizontal="center" vertical="center" wrapText="1"/>
      <protection/>
    </xf>
    <xf numFmtId="0" fontId="16" fillId="48" borderId="33" xfId="62" applyFont="1" applyFill="1" applyBorder="1" applyAlignment="1" applyProtection="1">
      <alignment horizontal="center" vertical="center" wrapText="1"/>
      <protection/>
    </xf>
    <xf numFmtId="0" fontId="16" fillId="48" borderId="19" xfId="62" applyFont="1" applyFill="1" applyBorder="1" applyAlignment="1" applyProtection="1">
      <alignment horizontal="center" vertical="center" wrapText="1"/>
      <protection/>
    </xf>
    <xf numFmtId="3" fontId="16" fillId="48" borderId="16" xfId="64" applyNumberFormat="1" applyFont="1" applyFill="1" applyBorder="1" applyAlignment="1" applyProtection="1">
      <alignment horizontal="center" vertical="center" wrapText="1"/>
      <protection/>
    </xf>
    <xf numFmtId="3" fontId="16" fillId="48" borderId="33" xfId="64" applyNumberFormat="1" applyFont="1" applyFill="1" applyBorder="1" applyAlignment="1" applyProtection="1">
      <alignment horizontal="center" vertical="center" wrapText="1"/>
      <protection/>
    </xf>
    <xf numFmtId="3" fontId="16" fillId="48" borderId="19" xfId="64" applyNumberFormat="1" applyFont="1" applyFill="1" applyBorder="1" applyAlignment="1" applyProtection="1">
      <alignment horizontal="center" vertical="center" wrapText="1"/>
      <protection/>
    </xf>
    <xf numFmtId="0" fontId="16" fillId="41" borderId="16" xfId="0" applyFont="1" applyFill="1" applyBorder="1" applyAlignment="1" applyProtection="1">
      <alignment horizontal="center" vertical="center" wrapText="1"/>
      <protection/>
    </xf>
    <xf numFmtId="0" fontId="16" fillId="41" borderId="33" xfId="0" applyFont="1" applyFill="1" applyBorder="1" applyAlignment="1" applyProtection="1">
      <alignment horizontal="center" vertical="center" wrapText="1"/>
      <protection/>
    </xf>
    <xf numFmtId="0" fontId="16" fillId="41" borderId="19" xfId="0" applyFont="1" applyFill="1" applyBorder="1" applyAlignment="1" applyProtection="1">
      <alignment horizontal="center" vertical="center" wrapText="1"/>
      <protection/>
    </xf>
    <xf numFmtId="0" fontId="16" fillId="41" borderId="11" xfId="0" applyFont="1" applyFill="1" applyBorder="1" applyAlignment="1" applyProtection="1">
      <alignment horizontal="center" vertical="center"/>
      <protection/>
    </xf>
    <xf numFmtId="0" fontId="16" fillId="41" borderId="12" xfId="0" applyFont="1" applyFill="1" applyBorder="1" applyAlignment="1" applyProtection="1">
      <alignment horizontal="center" vertical="center"/>
      <protection/>
    </xf>
    <xf numFmtId="0" fontId="16" fillId="41" borderId="13" xfId="0" applyFont="1" applyFill="1" applyBorder="1" applyAlignment="1" applyProtection="1">
      <alignment horizontal="center" vertical="center"/>
      <protection/>
    </xf>
    <xf numFmtId="0" fontId="101" fillId="40" borderId="11" xfId="0" applyFont="1" applyFill="1" applyBorder="1" applyAlignment="1" applyProtection="1">
      <alignment horizontal="center"/>
      <protection/>
    </xf>
    <xf numFmtId="0" fontId="101" fillId="40" borderId="12" xfId="0" applyFont="1" applyFill="1" applyBorder="1" applyAlignment="1" applyProtection="1">
      <alignment horizontal="center"/>
      <protection/>
    </xf>
    <xf numFmtId="0" fontId="101" fillId="40" borderId="13" xfId="0" applyFont="1" applyFill="1" applyBorder="1" applyAlignment="1" applyProtection="1">
      <alignment horizontal="center"/>
      <protection/>
    </xf>
    <xf numFmtId="0" fontId="16" fillId="2" borderId="11" xfId="62" applyFont="1" applyFill="1" applyBorder="1" applyAlignment="1" applyProtection="1">
      <alignment horizontal="center" vertical="center" wrapText="1"/>
      <protection/>
    </xf>
    <xf numFmtId="0" fontId="16" fillId="2" borderId="12" xfId="62" applyFont="1" applyFill="1" applyBorder="1" applyAlignment="1" applyProtection="1">
      <alignment horizontal="center" vertical="center" wrapText="1"/>
      <protection/>
    </xf>
    <xf numFmtId="0" fontId="16" fillId="2" borderId="13" xfId="62" applyFont="1" applyFill="1" applyBorder="1" applyAlignment="1" applyProtection="1">
      <alignment horizontal="center" vertical="center" wrapText="1"/>
      <protection/>
    </xf>
    <xf numFmtId="0" fontId="16" fillId="0" borderId="11" xfId="0" applyFont="1" applyBorder="1" applyAlignment="1" applyProtection="1">
      <alignment horizontal="center" vertical="center"/>
      <protection/>
    </xf>
    <xf numFmtId="0" fontId="16" fillId="0" borderId="12" xfId="0" applyFont="1" applyBorder="1" applyAlignment="1" applyProtection="1">
      <alignment horizontal="center" vertical="center"/>
      <protection/>
    </xf>
    <xf numFmtId="0" fontId="16" fillId="0" borderId="13" xfId="0" applyFont="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6" fillId="2" borderId="12"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01" fillId="40" borderId="15" xfId="0" applyFont="1" applyFill="1" applyBorder="1" applyAlignment="1" applyProtection="1">
      <alignment horizontal="center" vertical="center"/>
      <protection/>
    </xf>
    <xf numFmtId="0" fontId="20" fillId="0" borderId="15" xfId="0" applyFont="1" applyBorder="1" applyAlignment="1" applyProtection="1">
      <alignment horizontal="center" vertical="center" wrapText="1"/>
      <protection/>
    </xf>
    <xf numFmtId="0" fontId="21" fillId="0" borderId="15" xfId="0" applyFont="1" applyBorder="1" applyAlignment="1" applyProtection="1">
      <alignment horizontal="center" vertical="center"/>
      <protection/>
    </xf>
    <xf numFmtId="0" fontId="20" fillId="41" borderId="15" xfId="0" applyFont="1" applyFill="1" applyBorder="1" applyAlignment="1" applyProtection="1">
      <alignment horizontal="center" vertical="center"/>
      <protection/>
    </xf>
    <xf numFmtId="0" fontId="101" fillId="40" borderId="15" xfId="0" applyFont="1" applyFill="1" applyBorder="1" applyAlignment="1" applyProtection="1">
      <alignment horizontal="center" vertical="center"/>
      <protection/>
    </xf>
    <xf numFmtId="0" fontId="98" fillId="34" borderId="15" xfId="0" applyFont="1" applyFill="1" applyBorder="1" applyAlignment="1" applyProtection="1">
      <alignment horizontal="center" vertical="center" wrapText="1"/>
      <protection/>
    </xf>
    <xf numFmtId="0" fontId="20" fillId="41" borderId="11" xfId="0" applyFont="1" applyFill="1" applyBorder="1" applyAlignment="1" applyProtection="1">
      <alignment horizontal="center" vertical="center" wrapText="1"/>
      <protection/>
    </xf>
    <xf numFmtId="0" fontId="20" fillId="41" borderId="12" xfId="0" applyFont="1" applyFill="1" applyBorder="1" applyAlignment="1" applyProtection="1">
      <alignment horizontal="center" vertical="center" wrapText="1"/>
      <protection/>
    </xf>
    <xf numFmtId="0" fontId="21" fillId="0" borderId="11" xfId="0" applyFont="1" applyBorder="1" applyAlignment="1" applyProtection="1">
      <alignment horizontal="center" vertical="center" wrapText="1"/>
      <protection/>
    </xf>
    <xf numFmtId="0" fontId="21" fillId="0" borderId="12" xfId="0" applyFont="1" applyBorder="1" applyAlignment="1" applyProtection="1">
      <alignment horizontal="center" vertical="center" wrapText="1"/>
      <protection/>
    </xf>
    <xf numFmtId="0" fontId="20" fillId="0" borderId="11" xfId="0" applyFont="1" applyBorder="1" applyAlignment="1" applyProtection="1">
      <alignment horizontal="center" vertical="center" wrapText="1"/>
      <protection/>
    </xf>
    <xf numFmtId="0" fontId="20" fillId="0" borderId="12" xfId="0" applyFont="1" applyBorder="1" applyAlignment="1" applyProtection="1">
      <alignment horizontal="center" vertical="center" wrapText="1"/>
      <protection/>
    </xf>
    <xf numFmtId="0" fontId="105" fillId="40" borderId="15" xfId="0" applyFont="1" applyFill="1" applyBorder="1" applyAlignment="1" applyProtection="1">
      <alignment horizontal="center"/>
      <protection/>
    </xf>
    <xf numFmtId="0" fontId="96" fillId="0" borderId="15" xfId="0" applyFont="1" applyBorder="1" applyAlignment="1" applyProtection="1">
      <alignment horizontal="center" vertical="center"/>
      <protection/>
    </xf>
    <xf numFmtId="44" fontId="32" fillId="41" borderId="11" xfId="46" applyFont="1" applyFill="1" applyBorder="1" applyAlignment="1" applyProtection="1">
      <alignment horizontal="center" vertical="center"/>
      <protection/>
    </xf>
    <xf numFmtId="44" fontId="32" fillId="41" borderId="12" xfId="46" applyFont="1" applyFill="1" applyBorder="1" applyAlignment="1" applyProtection="1">
      <alignment horizontal="center" vertical="center"/>
      <protection/>
    </xf>
    <xf numFmtId="44" fontId="32" fillId="41" borderId="13" xfId="46" applyFont="1" applyFill="1" applyBorder="1" applyAlignment="1" applyProtection="1">
      <alignment horizontal="center" vertical="center"/>
      <protection/>
    </xf>
    <xf numFmtId="0" fontId="17" fillId="0" borderId="17" xfId="0" applyFont="1" applyBorder="1" applyAlignment="1" applyProtection="1">
      <alignment horizontal="center"/>
      <protection/>
    </xf>
    <xf numFmtId="0" fontId="26" fillId="41" borderId="11" xfId="0" applyFont="1" applyFill="1" applyBorder="1" applyAlignment="1" applyProtection="1">
      <alignment horizontal="center" vertical="center"/>
      <protection/>
    </xf>
    <xf numFmtId="0" fontId="26" fillId="41" borderId="12" xfId="0" applyFont="1" applyFill="1" applyBorder="1" applyAlignment="1" applyProtection="1">
      <alignment horizontal="center" vertical="center"/>
      <protection/>
    </xf>
    <xf numFmtId="0" fontId="26" fillId="41" borderId="13" xfId="0" applyFont="1" applyFill="1" applyBorder="1" applyAlignment="1" applyProtection="1">
      <alignment horizontal="center" vertical="center"/>
      <protection/>
    </xf>
    <xf numFmtId="0" fontId="106" fillId="40" borderId="15" xfId="0" applyFont="1" applyFill="1" applyBorder="1" applyAlignment="1" applyProtection="1">
      <alignment horizontal="center" vertical="center"/>
      <protection/>
    </xf>
    <xf numFmtId="0" fontId="99" fillId="0" borderId="22" xfId="0" applyFont="1" applyBorder="1" applyAlignment="1" applyProtection="1">
      <alignment horizontal="center" vertical="center"/>
      <protection/>
    </xf>
    <xf numFmtId="0" fontId="99" fillId="41" borderId="27" xfId="0" applyFont="1" applyFill="1" applyBorder="1" applyAlignment="1" applyProtection="1">
      <alignment horizontal="center" vertical="center"/>
      <protection/>
    </xf>
    <xf numFmtId="0" fontId="99" fillId="41" borderId="28" xfId="0" applyFont="1" applyFill="1" applyBorder="1" applyAlignment="1" applyProtection="1">
      <alignment horizontal="center" vertical="center"/>
      <protection/>
    </xf>
    <xf numFmtId="0" fontId="90" fillId="41" borderId="46" xfId="0" applyFont="1" applyFill="1" applyBorder="1" applyAlignment="1" applyProtection="1">
      <alignment horizontal="center"/>
      <protection/>
    </xf>
    <xf numFmtId="0" fontId="90" fillId="41" borderId="47" xfId="0" applyFont="1" applyFill="1" applyBorder="1" applyAlignment="1" applyProtection="1">
      <alignment horizontal="center"/>
      <protection/>
    </xf>
    <xf numFmtId="0" fontId="90" fillId="41" borderId="48" xfId="0" applyFont="1" applyFill="1" applyBorder="1" applyAlignment="1" applyProtection="1">
      <alignment horizontal="center"/>
      <protection/>
    </xf>
    <xf numFmtId="0" fontId="70" fillId="41" borderId="49" xfId="0" applyFont="1" applyFill="1" applyBorder="1" applyAlignment="1" applyProtection="1">
      <alignment horizontal="center"/>
      <protection/>
    </xf>
    <xf numFmtId="0" fontId="70" fillId="41" borderId="50" xfId="0" applyFont="1" applyFill="1" applyBorder="1" applyAlignment="1" applyProtection="1">
      <alignment horizontal="center"/>
      <protection/>
    </xf>
    <xf numFmtId="0" fontId="90" fillId="41" borderId="11" xfId="0" applyFont="1" applyFill="1" applyBorder="1" applyAlignment="1" applyProtection="1">
      <alignment horizontal="center" vertical="center"/>
      <protection/>
    </xf>
    <xf numFmtId="0" fontId="90" fillId="41" borderId="12" xfId="0" applyFont="1" applyFill="1" applyBorder="1" applyAlignment="1" applyProtection="1">
      <alignment horizontal="center" vertical="center"/>
      <protection/>
    </xf>
    <xf numFmtId="0" fontId="90" fillId="41" borderId="13" xfId="0" applyFont="1" applyFill="1" applyBorder="1" applyAlignment="1" applyProtection="1">
      <alignment horizontal="center" vertical="center"/>
      <protection/>
    </xf>
    <xf numFmtId="0" fontId="99" fillId="0" borderId="30" xfId="0" applyFont="1" applyBorder="1" applyAlignment="1" applyProtection="1">
      <alignment horizontal="center" vertical="center"/>
      <protection/>
    </xf>
    <xf numFmtId="0" fontId="99" fillId="0" borderId="51" xfId="0" applyFont="1" applyBorder="1" applyAlignment="1" applyProtection="1">
      <alignment horizontal="center" vertical="center"/>
      <protection/>
    </xf>
    <xf numFmtId="0" fontId="99" fillId="0" borderId="31" xfId="0" applyFont="1" applyBorder="1" applyAlignment="1" applyProtection="1">
      <alignment horizontal="center" vertical="center"/>
      <protection/>
    </xf>
    <xf numFmtId="0" fontId="107" fillId="0" borderId="22" xfId="0" applyFont="1" applyBorder="1" applyAlignment="1" applyProtection="1">
      <alignment horizontal="center" vertical="center"/>
      <protection/>
    </xf>
    <xf numFmtId="0" fontId="90" fillId="42" borderId="24" xfId="0" applyFont="1" applyFill="1" applyBorder="1" applyAlignment="1" applyProtection="1">
      <alignment horizontal="center"/>
      <protection/>
    </xf>
    <xf numFmtId="0" fontId="90" fillId="42" borderId="25" xfId="0" applyFont="1" applyFill="1" applyBorder="1" applyAlignment="1" applyProtection="1">
      <alignment horizontal="center"/>
      <protection/>
    </xf>
    <xf numFmtId="0" fontId="90" fillId="42" borderId="26" xfId="0" applyFont="1" applyFill="1" applyBorder="1" applyAlignment="1" applyProtection="1">
      <alignment horizontal="center"/>
      <protection/>
    </xf>
    <xf numFmtId="0" fontId="7" fillId="42" borderId="15" xfId="0" applyFont="1" applyFill="1" applyBorder="1" applyAlignment="1" applyProtection="1">
      <alignment horizontal="center"/>
      <protection/>
    </xf>
    <xf numFmtId="0" fontId="7" fillId="0" borderId="15" xfId="0" applyFont="1" applyBorder="1" applyAlignment="1" applyProtection="1">
      <alignment horizontal="center" vertical="center"/>
      <protection/>
    </xf>
    <xf numFmtId="0" fontId="17" fillId="41" borderId="15" xfId="0" applyFont="1" applyFill="1" applyBorder="1" applyAlignment="1" applyProtection="1">
      <alignment horizontal="center"/>
      <protection/>
    </xf>
    <xf numFmtId="0" fontId="12" fillId="8" borderId="15" xfId="0" applyFont="1" applyFill="1" applyBorder="1" applyAlignment="1">
      <alignment horizontal="center"/>
    </xf>
    <xf numFmtId="0" fontId="7" fillId="42" borderId="15" xfId="0" applyFont="1" applyFill="1" applyBorder="1" applyAlignment="1">
      <alignment horizontal="center"/>
    </xf>
    <xf numFmtId="0" fontId="7" fillId="0" borderId="15" xfId="0" applyFont="1" applyBorder="1" applyAlignment="1">
      <alignment horizontal="left" vertical="center"/>
    </xf>
    <xf numFmtId="0" fontId="0" fillId="0" borderId="15" xfId="0" applyBorder="1" applyAlignment="1">
      <alignment horizontal="center"/>
    </xf>
    <xf numFmtId="0" fontId="7" fillId="0" borderId="15" xfId="0" applyFont="1" applyBorder="1" applyAlignment="1">
      <alignment horizontal="center"/>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10" fillId="0" borderId="0" xfId="0" applyFont="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0" fillId="0" borderId="16" xfId="0" applyBorder="1" applyAlignment="1">
      <alignment horizontal="center" vertical="center"/>
    </xf>
    <xf numFmtId="0" fontId="0" fillId="0" borderId="19" xfId="0" applyBorder="1" applyAlignment="1">
      <alignment horizontal="center" vertical="center"/>
    </xf>
    <xf numFmtId="0" fontId="7" fillId="0" borderId="0" xfId="0" applyFont="1" applyAlignment="1">
      <alignment horizontal="center"/>
    </xf>
    <xf numFmtId="0" fontId="7" fillId="0" borderId="11"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1" xfId="0" applyFont="1" applyBorder="1" applyAlignment="1">
      <alignment horizontal="right"/>
    </xf>
    <xf numFmtId="0" fontId="7" fillId="0" borderId="12" xfId="0" applyFont="1" applyBorder="1" applyAlignment="1">
      <alignment horizontal="right"/>
    </xf>
    <xf numFmtId="0" fontId="7" fillId="8" borderId="11" xfId="0" applyFont="1" applyFill="1" applyBorder="1" applyAlignment="1">
      <alignment horizontal="center"/>
    </xf>
    <xf numFmtId="0" fontId="7" fillId="8" borderId="12" xfId="0" applyFont="1" applyFill="1" applyBorder="1" applyAlignment="1">
      <alignment horizontal="center"/>
    </xf>
    <xf numFmtId="0" fontId="7" fillId="8" borderId="13" xfId="0" applyFont="1" applyFill="1" applyBorder="1" applyAlignment="1">
      <alignment horizontal="center"/>
    </xf>
    <xf numFmtId="0" fontId="7" fillId="0" borderId="15" xfId="0" applyFont="1" applyBorder="1" applyAlignment="1">
      <alignment horizontal="center" vertical="center" wrapText="1"/>
    </xf>
    <xf numFmtId="0" fontId="7" fillId="0" borderId="15" xfId="0" applyFont="1" applyBorder="1" applyAlignment="1">
      <alignment horizontal="left"/>
    </xf>
    <xf numFmtId="0" fontId="7" fillId="0" borderId="1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5" xfId="0" applyFont="1" applyBorder="1" applyAlignment="1">
      <alignment horizontal="center" vertical="center" wrapText="1"/>
    </xf>
    <xf numFmtId="0" fontId="7" fillId="8" borderId="15" xfId="0" applyFont="1" applyFill="1" applyBorder="1" applyAlignment="1">
      <alignment horizontal="center"/>
    </xf>
    <xf numFmtId="4" fontId="7" fillId="42" borderId="11" xfId="0" applyNumberFormat="1" applyFont="1" applyFill="1" applyBorder="1" applyAlignment="1">
      <alignment horizontal="center"/>
    </xf>
    <xf numFmtId="4" fontId="7" fillId="42" borderId="12" xfId="0" applyNumberFormat="1" applyFont="1" applyFill="1" applyBorder="1" applyAlignment="1">
      <alignment horizontal="center"/>
    </xf>
    <xf numFmtId="4" fontId="7" fillId="42" borderId="13" xfId="0" applyNumberFormat="1" applyFont="1" applyFill="1" applyBorder="1" applyAlignment="1">
      <alignment horizontal="center"/>
    </xf>
    <xf numFmtId="0" fontId="7" fillId="0" borderId="13" xfId="0" applyFont="1" applyBorder="1" applyAlignment="1">
      <alignment horizontal="center" vertical="center"/>
    </xf>
    <xf numFmtId="0" fontId="7" fillId="0" borderId="35" xfId="0" applyFont="1" applyBorder="1" applyAlignment="1">
      <alignment horizontal="left"/>
    </xf>
    <xf numFmtId="0" fontId="7" fillId="0" borderId="18" xfId="0" applyFont="1" applyBorder="1" applyAlignment="1">
      <alignment horizontal="left"/>
    </xf>
    <xf numFmtId="0" fontId="7" fillId="0" borderId="18" xfId="0" applyFont="1" applyBorder="1" applyAlignment="1">
      <alignment horizontal="center" vertical="center"/>
    </xf>
    <xf numFmtId="0" fontId="7" fillId="0" borderId="14" xfId="0" applyFont="1" applyBorder="1" applyAlignment="1">
      <alignment horizontal="center" vertical="center"/>
    </xf>
    <xf numFmtId="0" fontId="7" fillId="0" borderId="35" xfId="0" applyFont="1" applyBorder="1" applyAlignment="1">
      <alignment horizontal="center" vertical="center"/>
    </xf>
    <xf numFmtId="10" fontId="1" fillId="40" borderId="15" xfId="72" applyNumberFormat="1" applyFill="1" applyBorder="1" applyAlignment="1" applyProtection="1">
      <alignment horizontal="center"/>
      <protection locked="0"/>
    </xf>
  </cellXfs>
  <cellStyles count="8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Moeda 2" xfId="48"/>
    <cellStyle name="Moeda 2 2" xfId="49"/>
    <cellStyle name="Moeda 2 2 2" xfId="50"/>
    <cellStyle name="Moeda 2 3" xfId="51"/>
    <cellStyle name="Moeda 2 3 2" xfId="52"/>
    <cellStyle name="Moeda 2 4" xfId="53"/>
    <cellStyle name="Moeda 2 4 2" xfId="54"/>
    <cellStyle name="Moeda 2 5" xfId="55"/>
    <cellStyle name="Moeda 2 6" xfId="56"/>
    <cellStyle name="Moeda 3" xfId="57"/>
    <cellStyle name="Moeda 3 2" xfId="58"/>
    <cellStyle name="Moeda 3 3" xfId="59"/>
    <cellStyle name="Moeda 4" xfId="60"/>
    <cellStyle name="Neutro" xfId="61"/>
    <cellStyle name="Normal 2" xfId="62"/>
    <cellStyle name="Normal 2 2" xfId="63"/>
    <cellStyle name="Normal 3" xfId="64"/>
    <cellStyle name="Normal 3 2" xfId="65"/>
    <cellStyle name="Normal 3 3" xfId="66"/>
    <cellStyle name="Normal 4" xfId="67"/>
    <cellStyle name="Normal 4 2" xfId="68"/>
    <cellStyle name="Normal 5" xfId="69"/>
    <cellStyle name="Normal 6" xfId="70"/>
    <cellStyle name="Nota" xfId="71"/>
    <cellStyle name="Percent" xfId="72"/>
    <cellStyle name="Porcentagem 2" xfId="73"/>
    <cellStyle name="Ruim" xfId="74"/>
    <cellStyle name="Saída" xfId="75"/>
    <cellStyle name="Comma [0]" xfId="76"/>
    <cellStyle name="Separador de milhares 2" xfId="77"/>
    <cellStyle name="Separador de milhares 3" xfId="78"/>
    <cellStyle name="Separador de milhares 3 2" xfId="79"/>
    <cellStyle name="Separador de milhares 4" xfId="80"/>
    <cellStyle name="Separador de milhares 4 2" xfId="81"/>
    <cellStyle name="Texto de Aviso" xfId="82"/>
    <cellStyle name="Texto Explicativo" xfId="83"/>
    <cellStyle name="Texto Explicativo 2" xfId="84"/>
    <cellStyle name="Título" xfId="85"/>
    <cellStyle name="Título 1" xfId="86"/>
    <cellStyle name="Título 2" xfId="87"/>
    <cellStyle name="Título 3" xfId="88"/>
    <cellStyle name="Título 4" xfId="89"/>
    <cellStyle name="Total" xfId="90"/>
    <cellStyle name="Comma" xfId="91"/>
    <cellStyle name="Vírgula 2" xfId="92"/>
    <cellStyle name="Vírgula 3" xfId="93"/>
    <cellStyle name="Vírgula 3 2" xfId="94"/>
    <cellStyle name="Vírgula 4" xfId="95"/>
    <cellStyle name="Vírgula 4 2" xfId="96"/>
    <cellStyle name="Vírgula 5" xfId="97"/>
    <cellStyle name="Vírgula 5 2" xfId="98"/>
    <cellStyle name="Vírgula 6" xfId="99"/>
    <cellStyle name="Vírgula 7"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DBB7CC"/>
      <rgbColor rgb="00808080"/>
      <rgbColor rgb="009999FF"/>
      <rgbColor rgb="00993366"/>
      <rgbColor rgb="00FFF2CC"/>
      <rgbColor rgb="00CCFFFF"/>
      <rgbColor rgb="00660066"/>
      <rgbColor rgb="00FF9966"/>
      <rgbColor rgb="000066CC"/>
      <rgbColor rgb="00D9D9D9"/>
      <rgbColor rgb="00000080"/>
      <rgbColor rgb="00FF00FF"/>
      <rgbColor rgb="00FFFF00"/>
      <rgbColor rgb="0000FFFF"/>
      <rgbColor rgb="00800080"/>
      <rgbColor rgb="00800000"/>
      <rgbColor rgb="00008080"/>
      <rgbColor rgb="002300DC"/>
      <rgbColor rgb="0000CCFF"/>
      <rgbColor rgb="00CCFFFF"/>
      <rgbColor rgb="00D8E9CD"/>
      <rgbColor rgb="00FBE5D6"/>
      <rgbColor rgb="009DC3E6"/>
      <rgbColor rgb="00F4B183"/>
      <rgbColor rgb="00CC99FF"/>
      <rgbColor rgb="00F8CBAD"/>
      <rgbColor rgb="003366FF"/>
      <rgbColor rgb="0033CCCC"/>
      <rgbColor rgb="0099CC00"/>
      <rgbColor rgb="00FFD966"/>
      <rgbColor rgb="00FF9900"/>
      <rgbColor rgb="00FF6600"/>
      <rgbColor rgb="00A863DB"/>
      <rgbColor rgb="00A9D18E"/>
      <rgbColor rgb="00003366"/>
      <rgbColor rgb="00339966"/>
      <rgbColor rgb="000D0D0D"/>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externalLink" Target="externalLinks/externalLink9.xml" /><Relationship Id="rId34" Type="http://schemas.openxmlformats.org/officeDocument/2006/relationships/externalLink" Target="externalLinks/externalLink10.xml" /><Relationship Id="rId35" Type="http://schemas.openxmlformats.org/officeDocument/2006/relationships/externalLink" Target="externalLinks/externalLink11.xml" /><Relationship Id="rId3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TP-GEAD_GCC\Manutencao%20Predial\XX_Termo%20de%20Refer&#234;ncia\XX_Planilha%20de%20Custo%20e%20Forma&#231;&#227;o%20de%20Pre&#231;os\03_Estimativa%20MOB%20sem%20dedicacao%20exclusiva.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06_Planilha%20materiai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07_Planilha%20Ar%20Condicionad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Licitacoes%20e%20Contratacoes\Pregao%20Eletronico\2020\PA%202019-3214%20-%20Limpeza%20Sede%20e%20Subse&#231;&#245;es\Anexo%20IV%20-%20Planilhas%20de%20Custos%20e%20Forma&#231;&#227;o%20de%20Pre&#231;os%20-%20Ap&#243;s%20NA\Planilha%20materiais%20todas%20unidades%20corrigida.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_%20Planilha%20Uniform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TP-GEAD_GCC\Manutencao%20Predial\XX_Termo%20de%20Refer&#234;ncia\XX_Planilha%20de%20Custo%20e%20Forma&#231;&#227;o%20de%20Pre&#231;os\03_Estimativa%20MOB%20sem%20dedicacao%20exclusiva.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02_Planilha%20EPI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Licitacoes%20e%20Contratacoes\Pregao%20Eletronico\2020\PA%202019-3214%20-%20Limpeza%20Sede%20e%20Subse&#231;&#245;es\Anexo%20IV%20-%20Planilhas%20de%20Custos%20e%20Forma&#231;&#227;o%20de%20Pre&#231;os%20-%20Ap&#243;s%20NA\Planilha%20materiais%20todas%20unidades%20corrigida.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03_Planilha%20insumo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04_Planilha%20de%20Ferramenta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05_Planilha%20Equipamen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uipe não residente_manut "/>
      <sheetName val="Equipe não residente eventual"/>
      <sheetName val="Composição"/>
      <sheetName val="Insumos"/>
    </sheetNames>
    <sheetDataSet>
      <sheetData sheetId="2">
        <row r="2">
          <cell r="A2" t="str">
            <v>Descrição</v>
          </cell>
          <cell r="B2" t="str">
            <v>Cod. SINAP</v>
          </cell>
          <cell r="C2" t="str">
            <v>CBO</v>
          </cell>
          <cell r="D2" t="str">
            <v>Valor</v>
          </cell>
          <cell r="E2" t="str">
            <v>H/M</v>
          </cell>
          <cell r="F2" t="str">
            <v>Insumos</v>
          </cell>
          <cell r="G2" t="str">
            <v>TOTAL</v>
          </cell>
        </row>
        <row r="3">
          <cell r="A3" t="str">
            <v>Ajudante de Eletricista</v>
          </cell>
          <cell r="B3">
            <v>88247</v>
          </cell>
          <cell r="C3" t="str">
            <v>7156-15</v>
          </cell>
          <cell r="D3">
            <v>20.2</v>
          </cell>
          <cell r="E3" t="str">
            <v>Horista</v>
          </cell>
          <cell r="F3">
            <v>15.86</v>
          </cell>
          <cell r="G3">
            <v>36.06</v>
          </cell>
        </row>
        <row r="4">
          <cell r="A4" t="str">
            <v>Oficial de Manutenção</v>
          </cell>
          <cell r="B4">
            <v>88264</v>
          </cell>
          <cell r="C4" t="str">
            <v>5143-25 </v>
          </cell>
          <cell r="D4">
            <v>26.41</v>
          </cell>
          <cell r="E4" t="str">
            <v>Horista</v>
          </cell>
          <cell r="F4">
            <v>15.86</v>
          </cell>
          <cell r="G4">
            <v>42.269999999999996</v>
          </cell>
        </row>
        <row r="5">
          <cell r="A5" t="str">
            <v>Oficial Eletricista</v>
          </cell>
          <cell r="B5">
            <v>88264</v>
          </cell>
          <cell r="C5">
            <v>7156</v>
          </cell>
          <cell r="D5">
            <v>26.41</v>
          </cell>
          <cell r="E5" t="str">
            <v>Horista</v>
          </cell>
          <cell r="F5">
            <v>21.91</v>
          </cell>
          <cell r="G5">
            <v>48.32</v>
          </cell>
        </row>
        <row r="6">
          <cell r="A6" t="str">
            <v>Eletricista Industrial</v>
          </cell>
          <cell r="B6">
            <v>88265</v>
          </cell>
          <cell r="C6">
            <v>951</v>
          </cell>
          <cell r="D6">
            <v>27.46</v>
          </cell>
          <cell r="E6" t="str">
            <v>Horista</v>
          </cell>
          <cell r="F6">
            <v>22.94</v>
          </cell>
          <cell r="G6">
            <v>50.400000000000006</v>
          </cell>
        </row>
        <row r="7">
          <cell r="A7" t="str">
            <v>Auxiliar de Encanador</v>
          </cell>
          <cell r="B7">
            <v>88248</v>
          </cell>
          <cell r="C7" t="str">
            <v>7241-10</v>
          </cell>
          <cell r="D7">
            <v>19.66</v>
          </cell>
          <cell r="E7" t="str">
            <v>Horista</v>
          </cell>
          <cell r="F7">
            <v>15.52</v>
          </cell>
          <cell r="G7">
            <v>35.18</v>
          </cell>
        </row>
        <row r="8">
          <cell r="A8" t="str">
            <v>Oficial Encanador</v>
          </cell>
          <cell r="B8">
            <v>88267</v>
          </cell>
          <cell r="C8">
            <v>7241</v>
          </cell>
          <cell r="D8">
            <v>25.68</v>
          </cell>
          <cell r="E8" t="str">
            <v>Horista</v>
          </cell>
          <cell r="F8">
            <v>21.46</v>
          </cell>
          <cell r="G8">
            <v>47.14</v>
          </cell>
        </row>
        <row r="9">
          <cell r="A9" t="str">
            <v>Azulejista</v>
          </cell>
          <cell r="B9">
            <v>88256</v>
          </cell>
          <cell r="C9" t="str">
            <v>7165-10</v>
          </cell>
          <cell r="D9">
            <v>24.39</v>
          </cell>
          <cell r="E9" t="str">
            <v>Horista</v>
          </cell>
          <cell r="F9">
            <v>18.71</v>
          </cell>
          <cell r="G9">
            <v>43.1</v>
          </cell>
        </row>
        <row r="10">
          <cell r="A10" t="str">
            <v>Engenheiro Civil</v>
          </cell>
          <cell r="B10">
            <v>90779</v>
          </cell>
          <cell r="C10" t="str">
            <v>2142-05</v>
          </cell>
          <cell r="D10">
            <v>145.72</v>
          </cell>
          <cell r="E10" t="str">
            <v>Horista</v>
          </cell>
          <cell r="F10">
            <v>144.79</v>
          </cell>
          <cell r="G10">
            <v>290.51</v>
          </cell>
        </row>
        <row r="11">
          <cell r="A11" t="str">
            <v>Marceneiro</v>
          </cell>
          <cell r="B11">
            <v>88273</v>
          </cell>
          <cell r="C11" t="str">
            <v>7711-05</v>
          </cell>
          <cell r="D11">
            <v>24.29</v>
          </cell>
          <cell r="E11" t="str">
            <v>Horista</v>
          </cell>
          <cell r="F11">
            <v>18.71</v>
          </cell>
          <cell r="G11">
            <v>43</v>
          </cell>
        </row>
        <row r="12">
          <cell r="A12" t="str">
            <v>Pedreiro</v>
          </cell>
          <cell r="B12">
            <v>88309</v>
          </cell>
          <cell r="C12" t="str">
            <v>7152-10</v>
          </cell>
          <cell r="D12">
            <v>24.48</v>
          </cell>
          <cell r="E12" t="str">
            <v>Horista</v>
          </cell>
          <cell r="F12">
            <v>20.24</v>
          </cell>
          <cell r="G12">
            <v>44.72</v>
          </cell>
        </row>
        <row r="13">
          <cell r="A13" t="str">
            <v>Pintor</v>
          </cell>
          <cell r="B13">
            <v>88310</v>
          </cell>
          <cell r="C13" t="str">
            <v>7233-10</v>
          </cell>
          <cell r="D13">
            <v>28.17</v>
          </cell>
          <cell r="E13" t="str">
            <v>Horista</v>
          </cell>
          <cell r="F13">
            <v>23.990000000000002</v>
          </cell>
          <cell r="G13">
            <v>52.160000000000004</v>
          </cell>
        </row>
        <row r="14">
          <cell r="A14" t="str">
            <v>Técnico de cabeamento estruturado</v>
          </cell>
          <cell r="B14">
            <v>88266</v>
          </cell>
          <cell r="C14" t="str">
            <v>7313-25</v>
          </cell>
          <cell r="D14">
            <v>35.21</v>
          </cell>
          <cell r="E14" t="str">
            <v>Horista</v>
          </cell>
          <cell r="F14">
            <v>0</v>
          </cell>
          <cell r="G14">
            <v>35.21</v>
          </cell>
        </row>
        <row r="15">
          <cell r="A15" t="str">
            <v>Técnico de manutenção eletrônica/eletrotécnico</v>
          </cell>
          <cell r="B15">
            <v>88266</v>
          </cell>
          <cell r="C15" t="str">
            <v>3132-05</v>
          </cell>
          <cell r="D15">
            <v>35.21</v>
          </cell>
          <cell r="E15" t="str">
            <v>Horista</v>
          </cell>
          <cell r="F15">
            <v>0</v>
          </cell>
          <cell r="G15">
            <v>35.21</v>
          </cell>
        </row>
        <row r="16">
          <cell r="A16" t="str">
            <v>Telhadista/Telhador</v>
          </cell>
          <cell r="B16">
            <v>88323</v>
          </cell>
          <cell r="C16" t="str">
            <v>7652-35</v>
          </cell>
          <cell r="D16">
            <v>23.87</v>
          </cell>
          <cell r="E16" t="str">
            <v>Horista</v>
          </cell>
          <cell r="F16">
            <v>18.33</v>
          </cell>
          <cell r="G16">
            <v>42.2</v>
          </cell>
        </row>
        <row r="17">
          <cell r="A17" t="str">
            <v>Serralheiro</v>
          </cell>
          <cell r="B17">
            <v>88315</v>
          </cell>
          <cell r="C17" t="str">
            <v>7244-40</v>
          </cell>
          <cell r="D17">
            <v>24.35</v>
          </cell>
          <cell r="E17" t="str">
            <v>Horista</v>
          </cell>
          <cell r="F17">
            <v>18.71</v>
          </cell>
          <cell r="G17">
            <v>43.06</v>
          </cell>
        </row>
        <row r="18">
          <cell r="A18" t="str">
            <v>Mecânico manutenção, instalação de aparelho climatização/refrigeração</v>
          </cell>
          <cell r="B18">
            <v>100308</v>
          </cell>
          <cell r="C18" t="str">
            <v>9112-5</v>
          </cell>
          <cell r="D18">
            <v>27.97</v>
          </cell>
          <cell r="E18" t="str">
            <v>Horista</v>
          </cell>
          <cell r="F18">
            <v>22.05</v>
          </cell>
          <cell r="G18">
            <v>50.019999999999996</v>
          </cell>
        </row>
        <row r="19">
          <cell r="A19" t="str">
            <v>Jardineiro</v>
          </cell>
          <cell r="B19">
            <v>88441</v>
          </cell>
          <cell r="C19" t="str">
            <v>6220-20</v>
          </cell>
          <cell r="D19">
            <v>23.64</v>
          </cell>
          <cell r="E19" t="str">
            <v>Horista</v>
          </cell>
          <cell r="F19">
            <v>18.09</v>
          </cell>
          <cell r="G19">
            <v>41.730000000000004</v>
          </cell>
        </row>
        <row r="20">
          <cell r="A20" t="str">
            <v>Encarregado geral</v>
          </cell>
          <cell r="B20">
            <v>90776</v>
          </cell>
          <cell r="C20" t="str">
            <v>7102-05</v>
          </cell>
          <cell r="D20">
            <v>34.74</v>
          </cell>
          <cell r="E20" t="str">
            <v>Horista</v>
          </cell>
          <cell r="F20">
            <v>33.63999999999999</v>
          </cell>
          <cell r="G20">
            <v>68.38</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ervente de Limpeza Líder"/>
      <sheetName val="Limpador de Vidros"/>
      <sheetName val="Materiais"/>
      <sheetName val="Produtividade IN 05-2017"/>
      <sheetName val="Produtividade x M2"/>
      <sheetName val="Proposta Comercial"/>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ervente de Limpeza Líder"/>
      <sheetName val="Limpador de Vidros"/>
      <sheetName val="Produtividade IN 05-2017"/>
      <sheetName val="Produtividade x M2"/>
      <sheetName val="Proposta Comercial"/>
      <sheetName val="Plan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a de Referencia"/>
      <sheetName val="Custo Total"/>
      <sheetName val="Sede"/>
      <sheetName val="Educacao"/>
      <sheetName val="Aracatuba"/>
      <sheetName val="Barretos"/>
      <sheetName val="Botucatu"/>
      <sheetName val="Campinas"/>
      <sheetName val="Guarulhos"/>
      <sheetName val="Itapetininga"/>
      <sheetName val="Marília"/>
      <sheetName val="Osasco"/>
      <sheetName val="Prudente"/>
      <sheetName val="Rib Preto"/>
      <sheetName val="Sto André"/>
      <sheetName val="Santos"/>
      <sheetName val="S J Campos"/>
      <sheetName val="S J Rio Preto"/>
      <sheetName val="Registro_Sorocaba"/>
      <sheetName val="Sto Amaro"/>
      <sheetName val="Plan1"/>
    </sheetNames>
    <sheetDataSet>
      <sheetData sheetId="0">
        <row r="11">
          <cell r="A11" t="str">
            <v>ESPECIFICAÇÃO</v>
          </cell>
          <cell r="B11">
            <v>0</v>
          </cell>
          <cell r="C11" t="str">
            <v>Unidade</v>
          </cell>
          <cell r="D11" t="str">
            <v>*Reposição  a cada quantos MESES?</v>
          </cell>
          <cell r="E11" t="str">
            <v>Preço unitário (1)</v>
          </cell>
          <cell r="F11" t="str">
            <v>Preço unitário (2)</v>
          </cell>
          <cell r="G11" t="str">
            <v>Preço unitário (3)</v>
          </cell>
          <cell r="H11" t="str">
            <v>Preço unitário (4)</v>
          </cell>
          <cell r="I11" t="str">
            <v>Preço unitário (5)</v>
          </cell>
          <cell r="J11" t="str">
            <v>Preço Unitário (6)</v>
          </cell>
          <cell r="K11" t="str">
            <v>Preço Unitário (7)</v>
          </cell>
          <cell r="L11" t="str">
            <v>Preço Unitário (8)</v>
          </cell>
          <cell r="M11" t="str">
            <v>Preço Unitário (9)</v>
          </cell>
          <cell r="N11" t="str">
            <v>Preço Unitário (10)</v>
          </cell>
          <cell r="O11" t="str">
            <v>Preço Unitário (11)</v>
          </cell>
          <cell r="P11" t="str">
            <v>Preço Unitário (12)</v>
          </cell>
          <cell r="Q11" t="str">
            <v>Preço Unitário (13)</v>
          </cell>
          <cell r="R11" t="str">
            <v>Preço Unitário (14)</v>
          </cell>
          <cell r="S11" t="str">
            <v>Preço Unitário (15)</v>
          </cell>
          <cell r="T11" t="str">
            <v>Preço Unitário (16)</v>
          </cell>
          <cell r="U11" t="str">
            <v>Preço Unitário (17)</v>
          </cell>
          <cell r="V11" t="str">
            <v>Preço Unitário (18)</v>
          </cell>
          <cell r="W11" t="str">
            <v>Preço Unitário (19)</v>
          </cell>
          <cell r="X11" t="str">
            <v>Preço Unitário (20)</v>
          </cell>
          <cell r="Y11" t="str">
            <v>Preço Unitário (21)</v>
          </cell>
          <cell r="Z11" t="str">
            <v>Preço Unitário (22)</v>
          </cell>
          <cell r="AA11" t="str">
            <v>Preço Unitário (23)</v>
          </cell>
          <cell r="AB11" t="str">
            <v>Preço Unitário (24)</v>
          </cell>
          <cell r="AC11" t="str">
            <v>Preço Unitário (25)</v>
          </cell>
          <cell r="AD11" t="str">
            <v>Preço Unitário (26)</v>
          </cell>
          <cell r="AE11" t="str">
            <v>Preço Unitário (27)</v>
          </cell>
          <cell r="AF11" t="str">
            <v>Preço Unitário (28)</v>
          </cell>
          <cell r="AG11" t="str">
            <v>Preço Unitário (29)</v>
          </cell>
          <cell r="AH11" t="str">
            <v>Preço Unitário (30)</v>
          </cell>
          <cell r="AI11" t="str">
            <v>Preço Unitário (31)</v>
          </cell>
          <cell r="AJ11" t="str">
            <v>Preço Unitário (32)</v>
          </cell>
          <cell r="AK11" t="str">
            <v>Preço Unitário (33)</v>
          </cell>
          <cell r="AL11" t="str">
            <v>Preço Unitário (34)</v>
          </cell>
          <cell r="AM11" t="str">
            <v>Preço Unitário (35)</v>
          </cell>
          <cell r="AN11" t="str">
            <v>Preço Unitário (36)</v>
          </cell>
          <cell r="AO11" t="str">
            <v>Preço Unitário (37)</v>
          </cell>
          <cell r="AP11" t="str">
            <v>Preço Unitário (38)</v>
          </cell>
          <cell r="AQ11" t="str">
            <v>Preço Unitário (39)</v>
          </cell>
          <cell r="AR11" t="str">
            <v>Preço mediano</v>
          </cell>
          <cell r="AS11" t="str">
            <v>Preço unitário (média simples)</v>
          </cell>
          <cell r="AT11" t="str">
            <v>Preço unitário médio (desconsiderando 30% de variação para +/- )</v>
          </cell>
        </row>
        <row r="12">
          <cell r="A12" t="str">
            <v>Aspirador de pó e água, Material: tanque em aço inox, Capacidade 20 litros, tensão alimentação 220 v, características adicionais: bocais, prolongador e filtro. Potência 1.400 w.</v>
          </cell>
          <cell r="B12">
            <v>0</v>
          </cell>
          <cell r="C12" t="str">
            <v>Unidade</v>
          </cell>
          <cell r="D12">
            <v>60</v>
          </cell>
          <cell r="E12">
            <v>0</v>
          </cell>
          <cell r="F12">
            <v>800</v>
          </cell>
          <cell r="G12">
            <v>200</v>
          </cell>
          <cell r="H12">
            <v>250</v>
          </cell>
          <cell r="I12">
            <v>170</v>
          </cell>
          <cell r="J12">
            <v>1239</v>
          </cell>
          <cell r="K12">
            <v>0</v>
          </cell>
          <cell r="L12">
            <v>150</v>
          </cell>
          <cell r="M12">
            <v>300</v>
          </cell>
          <cell r="N12">
            <v>170.91</v>
          </cell>
          <cell r="O12">
            <v>400</v>
          </cell>
          <cell r="P12">
            <v>300</v>
          </cell>
          <cell r="Q12">
            <v>467.15</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300</v>
          </cell>
          <cell r="AS12">
            <v>404.2781818181818</v>
          </cell>
          <cell r="AT12">
            <v>283.3333333333333</v>
          </cell>
        </row>
        <row r="13">
          <cell r="A13" t="str">
            <v>Balde plástico de 10 litros</v>
          </cell>
          <cell r="B13">
            <v>0</v>
          </cell>
          <cell r="C13" t="str">
            <v>Unidade</v>
          </cell>
          <cell r="D13">
            <v>4</v>
          </cell>
          <cell r="E13">
            <v>7.55</v>
          </cell>
          <cell r="F13">
            <v>8.6</v>
          </cell>
          <cell r="G13">
            <v>14.27</v>
          </cell>
          <cell r="H13">
            <v>11.5</v>
          </cell>
          <cell r="I13">
            <v>0</v>
          </cell>
          <cell r="J13">
            <v>0</v>
          </cell>
          <cell r="K13">
            <v>4.89</v>
          </cell>
          <cell r="L13">
            <v>3.5</v>
          </cell>
          <cell r="M13">
            <v>5</v>
          </cell>
          <cell r="N13">
            <v>12.63</v>
          </cell>
          <cell r="O13">
            <v>0</v>
          </cell>
          <cell r="P13">
            <v>3.66</v>
          </cell>
          <cell r="Q13">
            <v>7.55</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7.55</v>
          </cell>
          <cell r="AS13">
            <v>7.914999999999999</v>
          </cell>
          <cell r="AT13">
            <v>7.8999999999999995</v>
          </cell>
        </row>
        <row r="14">
          <cell r="A14" t="str">
            <v>Balde plástico de 5 litros</v>
          </cell>
          <cell r="B14">
            <v>0</v>
          </cell>
          <cell r="C14" t="str">
            <v>Unidade</v>
          </cell>
          <cell r="D14">
            <v>4</v>
          </cell>
          <cell r="E14">
            <v>8.5</v>
          </cell>
          <cell r="F14">
            <v>0</v>
          </cell>
          <cell r="G14">
            <v>0</v>
          </cell>
          <cell r="H14">
            <v>0</v>
          </cell>
          <cell r="I14">
            <v>0</v>
          </cell>
          <cell r="J14">
            <v>0</v>
          </cell>
          <cell r="K14">
            <v>0</v>
          </cell>
          <cell r="L14">
            <v>0</v>
          </cell>
          <cell r="M14">
            <v>0</v>
          </cell>
          <cell r="N14">
            <v>0</v>
          </cell>
          <cell r="O14">
            <v>0</v>
          </cell>
          <cell r="P14">
            <v>0</v>
          </cell>
          <cell r="Q14">
            <v>8.5</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6.41</v>
          </cell>
          <cell r="AR14">
            <v>8.5</v>
          </cell>
          <cell r="AS14">
            <v>7.803333333333334</v>
          </cell>
          <cell r="AT14">
            <v>7.803333333333334</v>
          </cell>
        </row>
        <row r="15">
          <cell r="A15" t="str">
            <v>Cone 75cm</v>
          </cell>
          <cell r="B15">
            <v>0</v>
          </cell>
          <cell r="C15" t="str">
            <v>Unidade</v>
          </cell>
          <cell r="D15">
            <v>60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37.47</v>
          </cell>
          <cell r="AR15">
            <v>37.47</v>
          </cell>
          <cell r="AS15">
            <v>37.47</v>
          </cell>
          <cell r="AT15">
            <v>37.47</v>
          </cell>
        </row>
        <row r="16">
          <cell r="A16" t="str">
            <v>Enceradeira industrial</v>
          </cell>
          <cell r="B16">
            <v>0</v>
          </cell>
          <cell r="C16" t="str">
            <v>Unidade</v>
          </cell>
          <cell r="D16">
            <v>60</v>
          </cell>
          <cell r="E16">
            <v>0</v>
          </cell>
          <cell r="F16">
            <v>0</v>
          </cell>
          <cell r="G16">
            <v>1219.87</v>
          </cell>
          <cell r="H16">
            <v>0</v>
          </cell>
          <cell r="I16">
            <v>0</v>
          </cell>
          <cell r="J16">
            <v>0</v>
          </cell>
          <cell r="K16">
            <v>1199</v>
          </cell>
          <cell r="L16">
            <v>750</v>
          </cell>
          <cell r="M16">
            <v>0</v>
          </cell>
          <cell r="N16">
            <v>1168</v>
          </cell>
          <cell r="O16">
            <v>1050</v>
          </cell>
          <cell r="P16">
            <v>0</v>
          </cell>
          <cell r="Q16">
            <v>970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1109</v>
          </cell>
          <cell r="AS16">
            <v>1059.4783333333332</v>
          </cell>
          <cell r="AT16">
            <v>1121.374</v>
          </cell>
        </row>
        <row r="17">
          <cell r="A17" t="str">
            <v>Escada de aço/alumínio 7 degraus</v>
          </cell>
          <cell r="B17">
            <v>0</v>
          </cell>
          <cell r="C17" t="str">
            <v>Unidade</v>
          </cell>
          <cell r="D17">
            <v>24</v>
          </cell>
          <cell r="E17">
            <v>0</v>
          </cell>
          <cell r="F17">
            <v>0</v>
          </cell>
          <cell r="G17">
            <v>331</v>
          </cell>
          <cell r="H17">
            <v>0</v>
          </cell>
          <cell r="I17">
            <v>0</v>
          </cell>
          <cell r="J17">
            <v>120</v>
          </cell>
          <cell r="K17">
            <v>150</v>
          </cell>
          <cell r="L17">
            <v>57.5</v>
          </cell>
          <cell r="M17">
            <v>0</v>
          </cell>
          <cell r="N17">
            <v>197.05</v>
          </cell>
          <cell r="O17">
            <v>180</v>
          </cell>
          <cell r="P17">
            <v>50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150</v>
          </cell>
          <cell r="AS17">
            <v>155.07857142857142</v>
          </cell>
          <cell r="AT17">
            <v>150</v>
          </cell>
        </row>
        <row r="18">
          <cell r="A18" t="str">
            <v>Escada alumínio, 3 degraus com banqueta</v>
          </cell>
          <cell r="B18">
            <v>0</v>
          </cell>
          <cell r="C18" t="str">
            <v>Unidade</v>
          </cell>
          <cell r="D18">
            <v>24</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93.09</v>
          </cell>
          <cell r="AR18">
            <v>93.09</v>
          </cell>
          <cell r="AS18">
            <v>93.09</v>
          </cell>
          <cell r="AT18">
            <v>93.09</v>
          </cell>
        </row>
        <row r="19">
          <cell r="A19" t="str">
            <v>Escada alumínio, 4  degraus </v>
          </cell>
          <cell r="B19">
            <v>0</v>
          </cell>
          <cell r="C19" t="str">
            <v>Unidade</v>
          </cell>
          <cell r="D19">
            <v>24</v>
          </cell>
          <cell r="E19">
            <v>198</v>
          </cell>
          <cell r="F19">
            <v>96</v>
          </cell>
          <cell r="G19">
            <v>0</v>
          </cell>
          <cell r="H19">
            <v>0</v>
          </cell>
          <cell r="I19">
            <v>0</v>
          </cell>
          <cell r="J19">
            <v>0</v>
          </cell>
          <cell r="K19">
            <v>0</v>
          </cell>
          <cell r="L19">
            <v>0</v>
          </cell>
          <cell r="M19">
            <v>0</v>
          </cell>
          <cell r="N19">
            <v>97.9</v>
          </cell>
          <cell r="O19">
            <v>0</v>
          </cell>
          <cell r="P19">
            <v>0</v>
          </cell>
          <cell r="Q19">
            <v>128.98</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113.44</v>
          </cell>
          <cell r="AS19">
            <v>130.22</v>
          </cell>
          <cell r="AT19">
            <v>107.62666666666667</v>
          </cell>
        </row>
        <row r="20">
          <cell r="A20" t="str">
            <v>Espanador Sintético longo</v>
          </cell>
          <cell r="B20">
            <v>0</v>
          </cell>
          <cell r="C20" t="str">
            <v>Unidade</v>
          </cell>
          <cell r="D20">
            <v>6</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11.86</v>
          </cell>
          <cell r="AR20">
            <v>11.86</v>
          </cell>
          <cell r="AS20">
            <v>11.86</v>
          </cell>
          <cell r="AT20">
            <v>11.86</v>
          </cell>
        </row>
        <row r="21">
          <cell r="A21" t="str">
            <v>Extensão Elétrica, 30 metros</v>
          </cell>
          <cell r="B21">
            <v>0</v>
          </cell>
          <cell r="C21" t="str">
            <v>Unidade</v>
          </cell>
          <cell r="D21">
            <v>12</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82.36</v>
          </cell>
          <cell r="AR21">
            <v>82.36</v>
          </cell>
          <cell r="AS21">
            <v>82.36</v>
          </cell>
          <cell r="AT21">
            <v>82.36</v>
          </cell>
        </row>
        <row r="22">
          <cell r="A22" t="str">
            <v>Extensão Elétrica, 40 metros</v>
          </cell>
          <cell r="B22">
            <v>0</v>
          </cell>
          <cell r="C22" t="str">
            <v>Unidade</v>
          </cell>
          <cell r="D22">
            <v>12</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47.69</v>
          </cell>
          <cell r="AR22">
            <v>47.69</v>
          </cell>
          <cell r="AS22">
            <v>47.69</v>
          </cell>
          <cell r="AT22">
            <v>47.69</v>
          </cell>
        </row>
        <row r="23">
          <cell r="A23" t="str">
            <v>Kit limpeza pesada (suporte LT)</v>
          </cell>
          <cell r="B23">
            <v>0</v>
          </cell>
          <cell r="C23" t="str">
            <v>Unidade</v>
          </cell>
          <cell r="D23">
            <v>6</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22.32</v>
          </cell>
          <cell r="AR23">
            <v>22.32</v>
          </cell>
          <cell r="AS23">
            <v>22.32</v>
          </cell>
          <cell r="AT23">
            <v>22.32</v>
          </cell>
        </row>
        <row r="24">
          <cell r="A24" t="str">
            <v>Lavadora de alta pressão, com  mangueira longa</v>
          </cell>
          <cell r="B24">
            <v>0</v>
          </cell>
          <cell r="C24" t="str">
            <v>máquina jateadora</v>
          </cell>
          <cell r="D24">
            <v>60</v>
          </cell>
          <cell r="E24">
            <v>0</v>
          </cell>
          <cell r="F24">
            <v>0</v>
          </cell>
          <cell r="G24">
            <v>869.61</v>
          </cell>
          <cell r="H24">
            <v>0</v>
          </cell>
          <cell r="I24">
            <v>0</v>
          </cell>
          <cell r="J24">
            <v>350</v>
          </cell>
          <cell r="K24">
            <v>289</v>
          </cell>
          <cell r="L24">
            <v>190</v>
          </cell>
          <cell r="M24">
            <v>280</v>
          </cell>
          <cell r="N24">
            <v>0</v>
          </cell>
          <cell r="O24">
            <v>1050</v>
          </cell>
          <cell r="P24">
            <v>0</v>
          </cell>
          <cell r="Q24">
            <v>536</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350</v>
          </cell>
          <cell r="AS24">
            <v>509.23</v>
          </cell>
          <cell r="AT24">
            <v>306.3333333333333</v>
          </cell>
        </row>
        <row r="25">
          <cell r="A25" t="str">
            <v>Lavadora tanquinho</v>
          </cell>
          <cell r="B25">
            <v>0</v>
          </cell>
          <cell r="C25" t="str">
            <v>Unidade</v>
          </cell>
          <cell r="D25">
            <v>60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448.94</v>
          </cell>
          <cell r="AR25">
            <v>448.94</v>
          </cell>
          <cell r="AS25">
            <v>448.94</v>
          </cell>
          <cell r="AT25">
            <v>448.94</v>
          </cell>
        </row>
        <row r="26">
          <cell r="A26" t="str">
            <v>Mangueira 20 metros esguicho</v>
          </cell>
          <cell r="B26">
            <v>0</v>
          </cell>
          <cell r="C26" t="str">
            <v>Unidade</v>
          </cell>
          <cell r="D26">
            <v>12</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26.53</v>
          </cell>
          <cell r="AR26">
            <v>26.53</v>
          </cell>
          <cell r="AS26">
            <v>26.53</v>
          </cell>
          <cell r="AT26">
            <v>26.53</v>
          </cell>
        </row>
        <row r="27">
          <cell r="A27" t="str">
            <v>Mangueira 60 metros esguicho</v>
          </cell>
          <cell r="B27">
            <v>0</v>
          </cell>
          <cell r="C27" t="str">
            <v>Unidade</v>
          </cell>
          <cell r="D27">
            <v>12</v>
          </cell>
          <cell r="E27">
            <v>120</v>
          </cell>
          <cell r="F27">
            <v>110</v>
          </cell>
          <cell r="G27">
            <v>0</v>
          </cell>
          <cell r="H27">
            <v>0</v>
          </cell>
          <cell r="I27">
            <v>0</v>
          </cell>
          <cell r="J27">
            <v>80</v>
          </cell>
          <cell r="K27">
            <v>59.22</v>
          </cell>
          <cell r="L27">
            <v>0</v>
          </cell>
          <cell r="M27">
            <v>40</v>
          </cell>
          <cell r="N27">
            <v>195</v>
          </cell>
          <cell r="O27">
            <v>55</v>
          </cell>
          <cell r="P27">
            <v>0</v>
          </cell>
          <cell r="Q27">
            <v>91.12</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85.56</v>
          </cell>
          <cell r="AS27">
            <v>93.7925</v>
          </cell>
          <cell r="AT27">
            <v>93.70666666666666</v>
          </cell>
        </row>
        <row r="28">
          <cell r="A28" t="str">
            <v>Pá coletora de lixo. Material coletor de poliestireno. Com cabo de madeira de 80 cm.</v>
          </cell>
          <cell r="B28">
            <v>0</v>
          </cell>
          <cell r="C28" t="str">
            <v>Unidade</v>
          </cell>
          <cell r="D28">
            <v>6</v>
          </cell>
          <cell r="E28">
            <v>7.55</v>
          </cell>
          <cell r="F28">
            <v>7.2</v>
          </cell>
          <cell r="G28">
            <v>7.85</v>
          </cell>
          <cell r="H28">
            <v>3.4</v>
          </cell>
          <cell r="I28">
            <v>0</v>
          </cell>
          <cell r="J28">
            <v>22</v>
          </cell>
          <cell r="K28">
            <v>4.25</v>
          </cell>
          <cell r="L28">
            <v>2.5</v>
          </cell>
          <cell r="M28">
            <v>0</v>
          </cell>
          <cell r="N28">
            <v>31.36</v>
          </cell>
          <cell r="O28">
            <v>13</v>
          </cell>
          <cell r="P28">
            <v>2.25</v>
          </cell>
          <cell r="Q28">
            <v>7.55</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7.55</v>
          </cell>
          <cell r="AS28">
            <v>9.90090909090909</v>
          </cell>
          <cell r="AT28">
            <v>7.5375000000000005</v>
          </cell>
        </row>
        <row r="29">
          <cell r="A29" t="str">
            <v>Pincel chato, nº 16 para limpeza de teclado</v>
          </cell>
          <cell r="B29">
            <v>0</v>
          </cell>
          <cell r="C29" t="str">
            <v>Unidade</v>
          </cell>
          <cell r="D29">
            <v>6</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2.65</v>
          </cell>
          <cell r="AR29">
            <v>2.65</v>
          </cell>
          <cell r="AS29">
            <v>2.65</v>
          </cell>
          <cell r="AT29">
            <v>2.65</v>
          </cell>
        </row>
        <row r="30">
          <cell r="A30" t="str">
            <v>Placas sinalizadoras "Piso Molhado"</v>
          </cell>
          <cell r="B30">
            <v>0</v>
          </cell>
          <cell r="C30" t="str">
            <v>Unidade</v>
          </cell>
          <cell r="D30">
            <v>24</v>
          </cell>
          <cell r="E30">
            <v>0</v>
          </cell>
          <cell r="F30">
            <v>0</v>
          </cell>
          <cell r="G30">
            <v>48.95</v>
          </cell>
          <cell r="H30">
            <v>35</v>
          </cell>
          <cell r="I30">
            <v>0</v>
          </cell>
          <cell r="J30">
            <v>33</v>
          </cell>
          <cell r="K30">
            <v>28.53</v>
          </cell>
          <cell r="L30">
            <v>15</v>
          </cell>
          <cell r="M30">
            <v>28</v>
          </cell>
          <cell r="N30">
            <v>29.9</v>
          </cell>
          <cell r="O30">
            <v>0</v>
          </cell>
          <cell r="P30">
            <v>0</v>
          </cell>
          <cell r="Q30">
            <v>32.79</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31.345</v>
          </cell>
          <cell r="AS30">
            <v>31.396250000000002</v>
          </cell>
          <cell r="AT30">
            <v>31.203333333333333</v>
          </cell>
        </row>
        <row r="31">
          <cell r="A31" t="str">
            <v>Suporte com velcro para enceradeira sem flange (semestral)</v>
          </cell>
          <cell r="B31">
            <v>0</v>
          </cell>
          <cell r="C31" t="str">
            <v>Unidade</v>
          </cell>
          <cell r="D31">
            <v>6</v>
          </cell>
          <cell r="E31">
            <v>0</v>
          </cell>
          <cell r="F31">
            <v>0</v>
          </cell>
          <cell r="G31">
            <v>0</v>
          </cell>
          <cell r="H31">
            <v>0</v>
          </cell>
          <cell r="I31">
            <v>0</v>
          </cell>
          <cell r="J31">
            <v>0</v>
          </cell>
          <cell r="K31">
            <v>0</v>
          </cell>
          <cell r="L31">
            <v>0</v>
          </cell>
          <cell r="M31">
            <v>0</v>
          </cell>
          <cell r="N31">
            <v>0</v>
          </cell>
          <cell r="O31">
            <v>0</v>
          </cell>
          <cell r="P31">
            <v>0</v>
          </cell>
          <cell r="Q31">
            <v>0</v>
          </cell>
          <cell r="R31">
            <v>49.9</v>
          </cell>
          <cell r="S31">
            <v>36.72</v>
          </cell>
          <cell r="T31">
            <v>47.99</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47.99</v>
          </cell>
          <cell r="AS31">
            <v>44.870000000000005</v>
          </cell>
          <cell r="AT31">
            <v>44.870000000000005</v>
          </cell>
        </row>
        <row r="32">
          <cell r="A32" t="str">
            <v>Rodo específico para limpeza de vidros</v>
          </cell>
          <cell r="B32">
            <v>0</v>
          </cell>
          <cell r="C32" t="str">
            <v>Unidade medindo no mínimo 40cm</v>
          </cell>
          <cell r="D32">
            <v>12</v>
          </cell>
          <cell r="E32">
            <v>0</v>
          </cell>
          <cell r="F32">
            <v>5.33</v>
          </cell>
          <cell r="G32">
            <v>0</v>
          </cell>
          <cell r="H32">
            <v>0</v>
          </cell>
          <cell r="I32">
            <v>0</v>
          </cell>
          <cell r="J32">
            <v>80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18.62</v>
          </cell>
          <cell r="AR32">
            <v>18.62</v>
          </cell>
          <cell r="AS32">
            <v>34.65</v>
          </cell>
          <cell r="AT32">
            <v>18.62</v>
          </cell>
        </row>
        <row r="33">
          <cell r="A33" t="str">
            <v>Rodo com 2 borrachas - 40cm de largura, com cabo</v>
          </cell>
          <cell r="B33">
            <v>0</v>
          </cell>
          <cell r="C33" t="str">
            <v>Unidade</v>
          </cell>
          <cell r="D33">
            <v>2</v>
          </cell>
          <cell r="E33">
            <v>17.8</v>
          </cell>
          <cell r="F33">
            <v>9.8</v>
          </cell>
          <cell r="G33">
            <v>0</v>
          </cell>
          <cell r="H33">
            <v>3</v>
          </cell>
          <cell r="I33">
            <v>0</v>
          </cell>
          <cell r="J33">
            <v>12</v>
          </cell>
          <cell r="K33">
            <v>7.89</v>
          </cell>
          <cell r="L33">
            <v>2.5</v>
          </cell>
          <cell r="M33">
            <v>6</v>
          </cell>
          <cell r="N33">
            <v>6.77</v>
          </cell>
          <cell r="O33">
            <v>4.51</v>
          </cell>
          <cell r="P33">
            <v>5.04</v>
          </cell>
          <cell r="Q33">
            <v>17.8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6.77</v>
          </cell>
          <cell r="AS33">
            <v>8.464545454545457</v>
          </cell>
          <cell r="AT33">
            <v>6.425</v>
          </cell>
        </row>
        <row r="34">
          <cell r="A34" t="str">
            <v>Vassoura para limpeza de teto</v>
          </cell>
          <cell r="B34">
            <v>0</v>
          </cell>
          <cell r="C34" t="str">
            <v>Unidade</v>
          </cell>
          <cell r="D34">
            <v>6</v>
          </cell>
          <cell r="E34">
            <v>0</v>
          </cell>
          <cell r="F34">
            <v>10.8</v>
          </cell>
          <cell r="G34">
            <v>15.22</v>
          </cell>
          <cell r="H34">
            <v>13.2</v>
          </cell>
          <cell r="I34">
            <v>0</v>
          </cell>
          <cell r="J34">
            <v>0</v>
          </cell>
          <cell r="K34">
            <v>6.89</v>
          </cell>
          <cell r="L34">
            <v>4.8</v>
          </cell>
          <cell r="M34">
            <v>6</v>
          </cell>
          <cell r="N34">
            <v>0</v>
          </cell>
          <cell r="O34">
            <v>11.07</v>
          </cell>
          <cell r="P34">
            <v>0</v>
          </cell>
          <cell r="Q34">
            <v>17.65</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10.935</v>
          </cell>
          <cell r="AS34">
            <v>10.70375</v>
          </cell>
          <cell r="AT34">
            <v>11.69</v>
          </cell>
        </row>
        <row r="35">
          <cell r="A35" t="str">
            <v>Vassoura Nylon</v>
          </cell>
          <cell r="B35">
            <v>0</v>
          </cell>
          <cell r="C35" t="str">
            <v>Unidade</v>
          </cell>
          <cell r="D35">
            <v>4</v>
          </cell>
          <cell r="E35">
            <v>0</v>
          </cell>
          <cell r="F35">
            <v>0</v>
          </cell>
          <cell r="G35">
            <v>10.27</v>
          </cell>
          <cell r="H35">
            <v>0</v>
          </cell>
          <cell r="I35">
            <v>0</v>
          </cell>
          <cell r="J35">
            <v>0</v>
          </cell>
          <cell r="K35">
            <v>3.73</v>
          </cell>
          <cell r="L35">
            <v>0</v>
          </cell>
          <cell r="M35">
            <v>6</v>
          </cell>
          <cell r="N35">
            <v>0</v>
          </cell>
          <cell r="O35">
            <v>3.79</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4.895</v>
          </cell>
          <cell r="AS35">
            <v>5.9475</v>
          </cell>
          <cell r="AT35">
            <v>4.506666666666667</v>
          </cell>
        </row>
        <row r="36">
          <cell r="A36" t="str">
            <v>Vassoura Sanitária</v>
          </cell>
          <cell r="B36">
            <v>0</v>
          </cell>
          <cell r="C36" t="str">
            <v>Unidade</v>
          </cell>
          <cell r="D36">
            <v>4</v>
          </cell>
          <cell r="E36">
            <v>0</v>
          </cell>
          <cell r="F36">
            <v>3.6</v>
          </cell>
          <cell r="G36">
            <v>10</v>
          </cell>
          <cell r="H36">
            <v>3</v>
          </cell>
          <cell r="I36">
            <v>0</v>
          </cell>
          <cell r="J36">
            <v>4.44</v>
          </cell>
          <cell r="K36">
            <v>1.89</v>
          </cell>
          <cell r="L36">
            <v>1.5</v>
          </cell>
          <cell r="M36">
            <v>2</v>
          </cell>
          <cell r="N36">
            <v>3.5</v>
          </cell>
          <cell r="O36">
            <v>3.13</v>
          </cell>
          <cell r="P36">
            <v>6.6</v>
          </cell>
          <cell r="Q36">
            <v>3.28</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3.28</v>
          </cell>
          <cell r="AS36">
            <v>3.9036363636363642</v>
          </cell>
          <cell r="AT36">
            <v>3.3020000000000005</v>
          </cell>
        </row>
        <row r="37">
          <cell r="A37" t="str">
            <v>Vassoura de pelo com 40cm de largura, com cabo</v>
          </cell>
          <cell r="B37">
            <v>0</v>
          </cell>
          <cell r="C37" t="str">
            <v>Unidade</v>
          </cell>
          <cell r="D37">
            <v>3</v>
          </cell>
          <cell r="E37">
            <v>0</v>
          </cell>
          <cell r="F37">
            <v>0</v>
          </cell>
          <cell r="G37">
            <v>0</v>
          </cell>
          <cell r="H37">
            <v>0</v>
          </cell>
          <cell r="I37">
            <v>0</v>
          </cell>
          <cell r="J37">
            <v>0</v>
          </cell>
          <cell r="K37">
            <v>0</v>
          </cell>
          <cell r="L37">
            <v>0</v>
          </cell>
          <cell r="M37">
            <v>6.2</v>
          </cell>
          <cell r="N37">
            <v>0</v>
          </cell>
          <cell r="O37">
            <v>0</v>
          </cell>
          <cell r="P37">
            <v>6.59</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8.38</v>
          </cell>
          <cell r="AR37">
            <v>6.59</v>
          </cell>
          <cell r="AS37">
            <v>7.0566666666666675</v>
          </cell>
          <cell r="AT37">
            <v>7.0566666666666675</v>
          </cell>
        </row>
        <row r="38">
          <cell r="A38" t="str">
            <v>* Tempo de resposição estimado com base em outros editais da Administração Pública e histórico de contratações anteriores</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row>
        <row r="39">
          <cell r="A39" t="str">
            <v>MATERIAIS</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row>
        <row r="40">
          <cell r="A40" t="str">
            <v>ESPECIFICAÇÃO</v>
          </cell>
          <cell r="B40" t="str">
            <v>MARCA DE REFERÊNCIA</v>
          </cell>
          <cell r="C40" t="str">
            <v>Unidade</v>
          </cell>
          <cell r="D40" t="str">
            <v>*Reposição  a cada quantos MESES?</v>
          </cell>
          <cell r="E40" t="str">
            <v>Preço unitário (1)</v>
          </cell>
          <cell r="F40" t="str">
            <v>Preço unitário (2)</v>
          </cell>
          <cell r="G40" t="str">
            <v>Preço unitário (3)</v>
          </cell>
          <cell r="H40" t="str">
            <v>Preço unitário (4)</v>
          </cell>
          <cell r="I40" t="str">
            <v>Preço unitário (5)</v>
          </cell>
          <cell r="J40" t="str">
            <v>Preço Unitário (6)</v>
          </cell>
          <cell r="K40" t="str">
            <v>Preço Unitário (7)</v>
          </cell>
          <cell r="L40" t="str">
            <v>Preço Unitário (8)</v>
          </cell>
          <cell r="M40" t="str">
            <v>Preço Unitário (9)</v>
          </cell>
          <cell r="N40" t="str">
            <v>Preço Unitário (10)</v>
          </cell>
          <cell r="O40" t="str">
            <v>Preço Unitário (11)</v>
          </cell>
          <cell r="P40" t="str">
            <v>Preço Unitário (12)</v>
          </cell>
          <cell r="Q40" t="str">
            <v>Preço Unitário (13)</v>
          </cell>
          <cell r="R40" t="str">
            <v>Preço Unitário (14)</v>
          </cell>
          <cell r="S40" t="str">
            <v>Preço Unitário (15)</v>
          </cell>
          <cell r="T40" t="str">
            <v>Preço Unitário (16)</v>
          </cell>
          <cell r="U40" t="str">
            <v>Preço Unitário (17)</v>
          </cell>
          <cell r="V40" t="str">
            <v>Preço Unitário (18)</v>
          </cell>
          <cell r="W40" t="str">
            <v>Preço Unitário (19)</v>
          </cell>
          <cell r="X40" t="str">
            <v>Preço Unitário (20)</v>
          </cell>
          <cell r="Y40" t="str">
            <v>Preço Unitário (21)</v>
          </cell>
          <cell r="Z40" t="str">
            <v>Preço Unitário (22)</v>
          </cell>
          <cell r="AA40" t="str">
            <v>Preço Unitário (23)</v>
          </cell>
          <cell r="AB40" t="str">
            <v>Preço Unitário (24)</v>
          </cell>
          <cell r="AC40" t="str">
            <v>Preço Unitário (25)</v>
          </cell>
          <cell r="AD40" t="str">
            <v>Preço Unitário (26)</v>
          </cell>
          <cell r="AE40" t="str">
            <v>Preço Unitário (27)</v>
          </cell>
          <cell r="AF40" t="str">
            <v>Preço Unitário (28)</v>
          </cell>
          <cell r="AG40" t="str">
            <v>Preço Unitário (29)</v>
          </cell>
          <cell r="AH40" t="str">
            <v>Preço Unitário (30)</v>
          </cell>
          <cell r="AI40" t="str">
            <v>Preço Unitário (31)</v>
          </cell>
          <cell r="AJ40" t="str">
            <v>Preço Unitário (32)</v>
          </cell>
          <cell r="AK40" t="str">
            <v>Preço Unitário (33)</v>
          </cell>
          <cell r="AL40" t="str">
            <v>Preço Unitário (34)</v>
          </cell>
          <cell r="AM40" t="str">
            <v>Preço Unitário (35)</v>
          </cell>
          <cell r="AN40" t="str">
            <v>Preço Unitário (36)</v>
          </cell>
          <cell r="AO40" t="str">
            <v>Preço Unitário (37)</v>
          </cell>
          <cell r="AP40" t="str">
            <v>Preço Unitário (38)</v>
          </cell>
          <cell r="AQ40" t="str">
            <v>Preço Unitário (39)</v>
          </cell>
          <cell r="AR40" t="str">
            <v>Preço mediano</v>
          </cell>
          <cell r="AS40" t="str">
            <v>Preço unitário (médio)</v>
          </cell>
          <cell r="AT40" t="str">
            <v>Preço unitário médio 30% variação</v>
          </cell>
        </row>
        <row r="41">
          <cell r="A41" t="str">
            <v>Água sanitária  de 1ª qualidade</v>
          </cell>
          <cell r="B41" t="str">
            <v>BRILHANTE/YPE/CÂNDIDA ou superior</v>
          </cell>
          <cell r="C41" t="str">
            <v>Galão com 5 litros</v>
          </cell>
          <cell r="D41">
            <v>1</v>
          </cell>
          <cell r="E41">
            <v>11.32</v>
          </cell>
          <cell r="F41">
            <v>6.4</v>
          </cell>
          <cell r="G41">
            <v>15.6</v>
          </cell>
          <cell r="H41">
            <v>4.5</v>
          </cell>
          <cell r="I41">
            <v>0</v>
          </cell>
          <cell r="J41">
            <v>6</v>
          </cell>
          <cell r="K41">
            <v>7.5</v>
          </cell>
          <cell r="L41">
            <v>3.25</v>
          </cell>
          <cell r="M41">
            <v>7.5</v>
          </cell>
          <cell r="N41">
            <v>0</v>
          </cell>
          <cell r="O41">
            <v>6.95</v>
          </cell>
          <cell r="P41">
            <v>6.85</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6.9</v>
          </cell>
          <cell r="AS41">
            <v>7.586999999999999</v>
          </cell>
          <cell r="AT41">
            <v>6.866666666666667</v>
          </cell>
        </row>
        <row r="42">
          <cell r="A42" t="str">
            <v>Álcool sem perfume</v>
          </cell>
          <cell r="B42">
            <v>0</v>
          </cell>
          <cell r="C42" t="str">
            <v>1 litro</v>
          </cell>
          <cell r="D42">
            <v>1</v>
          </cell>
          <cell r="E42">
            <v>4.66</v>
          </cell>
          <cell r="F42">
            <v>4.8</v>
          </cell>
          <cell r="G42">
            <v>7.73</v>
          </cell>
          <cell r="H42">
            <v>0</v>
          </cell>
          <cell r="I42">
            <v>0</v>
          </cell>
          <cell r="J42">
            <v>5</v>
          </cell>
          <cell r="K42">
            <v>4.36</v>
          </cell>
          <cell r="L42">
            <v>0</v>
          </cell>
          <cell r="M42">
            <v>10</v>
          </cell>
          <cell r="N42">
            <v>0</v>
          </cell>
          <cell r="O42">
            <v>9.64</v>
          </cell>
          <cell r="P42">
            <v>2.78</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4.9</v>
          </cell>
          <cell r="AS42">
            <v>6.12125</v>
          </cell>
          <cell r="AT42">
            <v>4.705</v>
          </cell>
        </row>
        <row r="43">
          <cell r="A43" t="str">
            <v>Álcool líquido 70% e/ou 90%</v>
          </cell>
          <cell r="B43" t="str">
            <v>Itajá</v>
          </cell>
          <cell r="C43" t="str">
            <v>1 litro</v>
          </cell>
          <cell r="D43">
            <v>1</v>
          </cell>
          <cell r="E43">
            <v>4.44</v>
          </cell>
          <cell r="F43">
            <v>13</v>
          </cell>
          <cell r="G43">
            <v>3.45</v>
          </cell>
          <cell r="H43">
            <v>5</v>
          </cell>
          <cell r="I43">
            <v>0</v>
          </cell>
          <cell r="J43">
            <v>0</v>
          </cell>
          <cell r="K43">
            <v>2.79</v>
          </cell>
          <cell r="L43">
            <v>2.85</v>
          </cell>
          <cell r="M43">
            <v>0</v>
          </cell>
          <cell r="N43">
            <v>6</v>
          </cell>
          <cell r="O43">
            <v>5.65</v>
          </cell>
          <cell r="P43">
            <v>2.99</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4.44</v>
          </cell>
          <cell r="AS43">
            <v>5.13</v>
          </cell>
          <cell r="AT43">
            <v>4.635</v>
          </cell>
        </row>
        <row r="44">
          <cell r="A44" t="str">
            <v>Cera Líquida Branca</v>
          </cell>
          <cell r="B44" t="str">
            <v>YPE/D+ ou superior</v>
          </cell>
          <cell r="C44" t="str">
            <v>galão 5 litros</v>
          </cell>
          <cell r="D44">
            <v>1</v>
          </cell>
          <cell r="E44">
            <v>0</v>
          </cell>
          <cell r="F44">
            <v>0</v>
          </cell>
          <cell r="G44">
            <v>0</v>
          </cell>
          <cell r="H44">
            <v>15.5</v>
          </cell>
          <cell r="I44">
            <v>0</v>
          </cell>
          <cell r="J44">
            <v>0</v>
          </cell>
          <cell r="K44">
            <v>13.27</v>
          </cell>
          <cell r="L44">
            <v>11.25</v>
          </cell>
          <cell r="M44">
            <v>0</v>
          </cell>
          <cell r="N44">
            <v>0</v>
          </cell>
          <cell r="O44">
            <v>19</v>
          </cell>
          <cell r="P44">
            <v>8</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13.27</v>
          </cell>
          <cell r="AS44">
            <v>13.404</v>
          </cell>
          <cell r="AT44">
            <v>13.339999999999998</v>
          </cell>
        </row>
        <row r="45">
          <cell r="A45" t="str">
            <v>Desengraxante para pisos</v>
          </cell>
          <cell r="B45" t="str">
            <v>INGLEZA ou superior</v>
          </cell>
          <cell r="C45" t="str">
            <v>Galão com 5 litros</v>
          </cell>
          <cell r="D45">
            <v>1</v>
          </cell>
          <cell r="E45">
            <v>0</v>
          </cell>
          <cell r="F45">
            <v>22.5</v>
          </cell>
          <cell r="G45">
            <v>0</v>
          </cell>
          <cell r="H45">
            <v>0</v>
          </cell>
          <cell r="I45">
            <v>0</v>
          </cell>
          <cell r="J45">
            <v>0</v>
          </cell>
          <cell r="K45">
            <v>0</v>
          </cell>
          <cell r="L45">
            <v>0</v>
          </cell>
          <cell r="M45">
            <v>16.5</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18.62</v>
          </cell>
          <cell r="AR45">
            <v>18.62</v>
          </cell>
          <cell r="AS45">
            <v>19.206666666666667</v>
          </cell>
          <cell r="AT45">
            <v>19.206666666666667</v>
          </cell>
        </row>
        <row r="46">
          <cell r="A46" t="str">
            <v>Desinfetante de uso geral </v>
          </cell>
          <cell r="B46" t="str">
            <v>Valência</v>
          </cell>
          <cell r="C46" t="str">
            <v>galão 5 litros</v>
          </cell>
          <cell r="D46">
            <v>1</v>
          </cell>
          <cell r="E46">
            <v>8.93</v>
          </cell>
          <cell r="F46">
            <v>7.5</v>
          </cell>
          <cell r="G46">
            <v>11.16</v>
          </cell>
          <cell r="H46">
            <v>6.5</v>
          </cell>
          <cell r="I46">
            <v>0</v>
          </cell>
          <cell r="J46">
            <v>12</v>
          </cell>
          <cell r="K46">
            <v>4.89</v>
          </cell>
          <cell r="L46">
            <v>7.5</v>
          </cell>
          <cell r="M46">
            <v>10</v>
          </cell>
          <cell r="N46">
            <v>0</v>
          </cell>
          <cell r="O46">
            <v>11.65</v>
          </cell>
          <cell r="P46">
            <v>5.47</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8.215</v>
          </cell>
          <cell r="AS46">
            <v>8.56</v>
          </cell>
          <cell r="AT46">
            <v>8.086</v>
          </cell>
        </row>
        <row r="47">
          <cell r="A47" t="str">
            <v>Desodorizador de ambiente, fragrância lavanda ou similar</v>
          </cell>
          <cell r="B47">
            <v>0</v>
          </cell>
          <cell r="C47" t="str">
            <v>unidade</v>
          </cell>
          <cell r="D47">
            <v>1</v>
          </cell>
          <cell r="E47">
            <v>0</v>
          </cell>
          <cell r="F47">
            <v>6.4</v>
          </cell>
          <cell r="G47">
            <v>3.9</v>
          </cell>
          <cell r="H47">
            <v>0</v>
          </cell>
          <cell r="I47">
            <v>0</v>
          </cell>
          <cell r="J47">
            <v>9.04</v>
          </cell>
          <cell r="K47">
            <v>4.99</v>
          </cell>
          <cell r="L47">
            <v>3.8</v>
          </cell>
          <cell r="M47">
            <v>6.9</v>
          </cell>
          <cell r="N47">
            <v>0</v>
          </cell>
          <cell r="O47">
            <v>6.7</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6.4</v>
          </cell>
          <cell r="AS47">
            <v>5.961428571428572</v>
          </cell>
          <cell r="AT47">
            <v>6.2475</v>
          </cell>
        </row>
        <row r="48">
          <cell r="A48" t="str">
            <v>Detergente</v>
          </cell>
          <cell r="B48">
            <v>0</v>
          </cell>
          <cell r="C48" t="str">
            <v>galão 5 litros</v>
          </cell>
          <cell r="D48">
            <v>1</v>
          </cell>
          <cell r="E48">
            <v>0</v>
          </cell>
          <cell r="F48">
            <v>20</v>
          </cell>
          <cell r="G48">
            <v>11.16</v>
          </cell>
          <cell r="H48">
            <v>0</v>
          </cell>
          <cell r="I48">
            <v>0</v>
          </cell>
          <cell r="J48">
            <v>0</v>
          </cell>
          <cell r="K48">
            <v>10.5</v>
          </cell>
          <cell r="L48">
            <v>5</v>
          </cell>
          <cell r="M48">
            <v>10</v>
          </cell>
          <cell r="N48">
            <v>17.5</v>
          </cell>
          <cell r="O48">
            <v>12.5</v>
          </cell>
          <cell r="P48">
            <v>8</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10.83</v>
          </cell>
          <cell r="AS48">
            <v>11.8325</v>
          </cell>
          <cell r="AT48">
            <v>10.431999999999999</v>
          </cell>
        </row>
        <row r="49">
          <cell r="A49" t="str">
            <v>Disco BR 350mm Limpador (verde)</v>
          </cell>
          <cell r="B49" t="str">
            <v>BETTANIN/BRITISH ou superior</v>
          </cell>
          <cell r="C49" t="str">
            <v>Unidade</v>
          </cell>
          <cell r="D49">
            <v>1</v>
          </cell>
          <cell r="E49">
            <v>0</v>
          </cell>
          <cell r="F49">
            <v>0</v>
          </cell>
          <cell r="G49">
            <v>0</v>
          </cell>
          <cell r="H49">
            <v>0</v>
          </cell>
          <cell r="I49">
            <v>0</v>
          </cell>
          <cell r="J49">
            <v>0</v>
          </cell>
          <cell r="K49">
            <v>0</v>
          </cell>
          <cell r="L49">
            <v>0</v>
          </cell>
          <cell r="M49">
            <v>0</v>
          </cell>
          <cell r="N49">
            <v>17.1</v>
          </cell>
          <cell r="O49">
            <v>0</v>
          </cell>
          <cell r="P49">
            <v>0</v>
          </cell>
          <cell r="Q49">
            <v>0</v>
          </cell>
          <cell r="R49">
            <v>0</v>
          </cell>
          <cell r="S49">
            <v>0</v>
          </cell>
          <cell r="T49">
            <v>0</v>
          </cell>
          <cell r="U49">
            <v>0</v>
          </cell>
          <cell r="V49">
            <v>0</v>
          </cell>
          <cell r="W49">
            <v>19.9</v>
          </cell>
          <cell r="X49">
            <v>22.77</v>
          </cell>
          <cell r="Y49">
            <v>16.24</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18.5</v>
          </cell>
          <cell r="AS49">
            <v>19.002499999999998</v>
          </cell>
          <cell r="AT49">
            <v>19.002499999999998</v>
          </cell>
        </row>
        <row r="50">
          <cell r="A50" t="str">
            <v>Disco BR 350mm Limpador (preto)</v>
          </cell>
          <cell r="B50" t="str">
            <v>BETTANIN/BRITISH ou superior</v>
          </cell>
          <cell r="C50" t="str">
            <v>Unidade</v>
          </cell>
          <cell r="D50">
            <v>1</v>
          </cell>
          <cell r="E50">
            <v>0</v>
          </cell>
          <cell r="F50">
            <v>0</v>
          </cell>
          <cell r="G50">
            <v>15.39</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13.64</v>
          </cell>
          <cell r="W50">
            <v>19.19</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15.39</v>
          </cell>
          <cell r="AS50">
            <v>16.073333333333334</v>
          </cell>
          <cell r="AT50">
            <v>16.073333333333334</v>
          </cell>
        </row>
        <row r="51">
          <cell r="A51" t="str">
            <v>Escova de mão</v>
          </cell>
          <cell r="B51" t="str">
            <v>CONDOR/BETTANIN/SANTA MARIA ou superior</v>
          </cell>
          <cell r="C51" t="str">
            <v>Unidade</v>
          </cell>
          <cell r="D51">
            <v>1</v>
          </cell>
          <cell r="E51">
            <v>0</v>
          </cell>
          <cell r="F51">
            <v>2.7</v>
          </cell>
          <cell r="G51">
            <v>0</v>
          </cell>
          <cell r="H51">
            <v>2.15</v>
          </cell>
          <cell r="I51">
            <v>0</v>
          </cell>
          <cell r="J51">
            <v>4.29</v>
          </cell>
          <cell r="K51">
            <v>0</v>
          </cell>
          <cell r="L51">
            <v>0.9</v>
          </cell>
          <cell r="M51">
            <v>2.5</v>
          </cell>
          <cell r="N51">
            <v>10.81</v>
          </cell>
          <cell r="O51">
            <v>2.8</v>
          </cell>
          <cell r="P51">
            <v>1.7</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2.6</v>
          </cell>
          <cell r="AS51">
            <v>3.48125</v>
          </cell>
          <cell r="AT51">
            <v>2.5374999999999996</v>
          </cell>
        </row>
        <row r="52">
          <cell r="A52" t="str">
            <v>Espanador Sintético longo</v>
          </cell>
          <cell r="B52">
            <v>0</v>
          </cell>
          <cell r="C52" t="str">
            <v>Unidade</v>
          </cell>
          <cell r="D52">
            <v>0</v>
          </cell>
          <cell r="E52">
            <v>11.82</v>
          </cell>
          <cell r="F52">
            <v>9.8</v>
          </cell>
          <cell r="G52">
            <v>7.56</v>
          </cell>
          <cell r="H52">
            <v>0</v>
          </cell>
          <cell r="I52">
            <v>0</v>
          </cell>
          <cell r="J52">
            <v>0</v>
          </cell>
          <cell r="K52">
            <v>7.89</v>
          </cell>
          <cell r="L52">
            <v>0</v>
          </cell>
          <cell r="M52">
            <v>0</v>
          </cell>
          <cell r="N52">
            <v>0</v>
          </cell>
          <cell r="O52">
            <v>0</v>
          </cell>
          <cell r="P52">
            <v>2.3</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7.89</v>
          </cell>
          <cell r="AS52">
            <v>7.874</v>
          </cell>
          <cell r="AT52">
            <v>8.416666666666666</v>
          </cell>
        </row>
        <row r="53">
          <cell r="A53" t="str">
            <v>Esponja de fibra com dupla face (verde e amarelo)</v>
          </cell>
          <cell r="B53" t="str">
            <v>BomBril, Assolan, 3M scotch brite ou superior</v>
          </cell>
          <cell r="C53" t="str">
            <v>Unidade</v>
          </cell>
          <cell r="D53">
            <v>1</v>
          </cell>
          <cell r="E53">
            <v>0.51</v>
          </cell>
          <cell r="F53">
            <v>1.75</v>
          </cell>
          <cell r="G53">
            <v>1.25</v>
          </cell>
          <cell r="H53">
            <v>0.49</v>
          </cell>
          <cell r="I53">
            <v>0</v>
          </cell>
          <cell r="J53">
            <v>0.55</v>
          </cell>
          <cell r="K53">
            <v>0.99</v>
          </cell>
          <cell r="L53">
            <v>0.35</v>
          </cell>
          <cell r="M53">
            <v>0.5</v>
          </cell>
          <cell r="N53">
            <v>0.33</v>
          </cell>
          <cell r="O53">
            <v>0.38</v>
          </cell>
          <cell r="P53">
            <v>0.55</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0.51</v>
          </cell>
          <cell r="AS53">
            <v>0.6954545454545454</v>
          </cell>
          <cell r="AT53">
            <v>0.4966666666666666</v>
          </cell>
        </row>
        <row r="54">
          <cell r="A54" t="str">
            <v>Flanela branca de 1ª qualidade, medindo 40x60cm</v>
          </cell>
          <cell r="B54" t="str">
            <v>GENÉRICO</v>
          </cell>
          <cell r="C54" t="str">
            <v>Unidade</v>
          </cell>
          <cell r="D54">
            <v>1</v>
          </cell>
          <cell r="E54">
            <v>1.15</v>
          </cell>
          <cell r="F54">
            <v>2.35</v>
          </cell>
          <cell r="G54">
            <v>1.42</v>
          </cell>
          <cell r="H54">
            <v>1.8</v>
          </cell>
          <cell r="I54">
            <v>0</v>
          </cell>
          <cell r="J54">
            <v>1.5</v>
          </cell>
          <cell r="K54">
            <v>0.75</v>
          </cell>
          <cell r="L54">
            <v>0.65</v>
          </cell>
          <cell r="M54">
            <v>1.5</v>
          </cell>
          <cell r="N54">
            <v>0</v>
          </cell>
          <cell r="O54">
            <v>1.1</v>
          </cell>
          <cell r="P54">
            <v>1.43</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1.4249999999999998</v>
          </cell>
          <cell r="AS54">
            <v>1.3649999999999998</v>
          </cell>
          <cell r="AT54">
            <v>1.4142857142857144</v>
          </cell>
        </row>
        <row r="55">
          <cell r="A55" t="str">
            <v>Refil fibra LT do kit conjunto limpeza pesada</v>
          </cell>
          <cell r="B55">
            <v>0</v>
          </cell>
          <cell r="C55" t="str">
            <v>Unidade</v>
          </cell>
          <cell r="D55">
            <v>1</v>
          </cell>
          <cell r="E55">
            <v>0</v>
          </cell>
          <cell r="F55">
            <v>0</v>
          </cell>
          <cell r="G55">
            <v>18.5</v>
          </cell>
          <cell r="H55">
            <v>0</v>
          </cell>
          <cell r="I55">
            <v>0</v>
          </cell>
          <cell r="J55">
            <v>0</v>
          </cell>
          <cell r="K55">
            <v>0</v>
          </cell>
          <cell r="L55">
            <v>0</v>
          </cell>
          <cell r="M55">
            <v>0</v>
          </cell>
          <cell r="N55">
            <v>0</v>
          </cell>
          <cell r="O55">
            <v>0</v>
          </cell>
          <cell r="P55">
            <v>0</v>
          </cell>
          <cell r="Q55">
            <v>0</v>
          </cell>
          <cell r="R55">
            <v>0</v>
          </cell>
          <cell r="S55">
            <v>0.94</v>
          </cell>
          <cell r="T55">
            <v>0</v>
          </cell>
          <cell r="U55">
            <v>1.2</v>
          </cell>
          <cell r="V55">
            <v>1.47</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1.335</v>
          </cell>
          <cell r="AS55">
            <v>5.5275</v>
          </cell>
          <cell r="AT55">
            <v>1.2033333333333331</v>
          </cell>
        </row>
        <row r="56">
          <cell r="A56" t="str">
            <v>Lã de aço</v>
          </cell>
          <cell r="B56">
            <v>0</v>
          </cell>
          <cell r="C56" t="str">
            <v>pacote</v>
          </cell>
          <cell r="D56">
            <v>1</v>
          </cell>
          <cell r="E56">
            <v>0.81</v>
          </cell>
          <cell r="F56">
            <v>2.2</v>
          </cell>
          <cell r="G56">
            <v>2.71</v>
          </cell>
          <cell r="H56">
            <v>0</v>
          </cell>
          <cell r="I56">
            <v>0</v>
          </cell>
          <cell r="J56">
            <v>0</v>
          </cell>
          <cell r="K56">
            <v>0.86</v>
          </cell>
          <cell r="L56">
            <v>0</v>
          </cell>
          <cell r="M56">
            <v>0.6</v>
          </cell>
          <cell r="N56">
            <v>0</v>
          </cell>
          <cell r="O56">
            <v>0</v>
          </cell>
          <cell r="P56">
            <v>1.09</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0.9750000000000001</v>
          </cell>
          <cell r="AS56">
            <v>1.3783333333333336</v>
          </cell>
          <cell r="AT56">
            <v>0.9199999999999999</v>
          </cell>
        </row>
        <row r="57">
          <cell r="A57" t="str">
            <v>Limpa Carpetes</v>
          </cell>
          <cell r="B57">
            <v>0</v>
          </cell>
          <cell r="C57" t="str">
            <v>galão 5 litros</v>
          </cell>
          <cell r="D57">
            <v>1</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43.4</v>
          </cell>
          <cell r="AR57">
            <v>43.4</v>
          </cell>
          <cell r="AS57">
            <v>43.4</v>
          </cell>
          <cell r="AT57">
            <v>43.4</v>
          </cell>
        </row>
        <row r="58">
          <cell r="A58" t="str">
            <v>Limpa cerâmica e azulejos</v>
          </cell>
          <cell r="B58" t="str">
            <v>Azulim</v>
          </cell>
          <cell r="C58" t="str">
            <v>1 litro</v>
          </cell>
          <cell r="D58">
            <v>1</v>
          </cell>
          <cell r="E58">
            <v>0</v>
          </cell>
          <cell r="F58">
            <v>12.8</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4.97</v>
          </cell>
          <cell r="W58">
            <v>0</v>
          </cell>
          <cell r="X58">
            <v>0</v>
          </cell>
          <cell r="Y58">
            <v>0</v>
          </cell>
          <cell r="Z58">
            <v>0</v>
          </cell>
          <cell r="AA58">
            <v>0</v>
          </cell>
          <cell r="AB58">
            <v>0</v>
          </cell>
          <cell r="AC58">
            <v>5.59</v>
          </cell>
          <cell r="AD58">
            <v>4.97</v>
          </cell>
          <cell r="AE58">
            <v>0</v>
          </cell>
          <cell r="AF58">
            <v>0</v>
          </cell>
          <cell r="AG58">
            <v>0</v>
          </cell>
          <cell r="AH58">
            <v>0</v>
          </cell>
          <cell r="AI58">
            <v>0</v>
          </cell>
          <cell r="AJ58">
            <v>0</v>
          </cell>
          <cell r="AK58">
            <v>0</v>
          </cell>
          <cell r="AL58">
            <v>0</v>
          </cell>
          <cell r="AM58">
            <v>0</v>
          </cell>
          <cell r="AN58">
            <v>0</v>
          </cell>
          <cell r="AO58">
            <v>0</v>
          </cell>
          <cell r="AP58">
            <v>0</v>
          </cell>
          <cell r="AQ58">
            <v>0</v>
          </cell>
          <cell r="AR58">
            <v>5.279999999999999</v>
          </cell>
          <cell r="AS58">
            <v>7.0825</v>
          </cell>
          <cell r="AT58">
            <v>5.176666666666666</v>
          </cell>
        </row>
        <row r="59">
          <cell r="A59" t="str">
            <v>Limpa pedra</v>
          </cell>
          <cell r="B59" t="str">
            <v>Pedrex/Start</v>
          </cell>
          <cell r="C59" t="str">
            <v>1 litro</v>
          </cell>
          <cell r="D59">
            <v>1</v>
          </cell>
          <cell r="E59">
            <v>0</v>
          </cell>
          <cell r="F59">
            <v>0</v>
          </cell>
          <cell r="G59">
            <v>0</v>
          </cell>
          <cell r="H59">
            <v>0</v>
          </cell>
          <cell r="I59">
            <v>0</v>
          </cell>
          <cell r="J59">
            <v>0</v>
          </cell>
          <cell r="K59">
            <v>1.23</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14.25</v>
          </cell>
          <cell r="AO59">
            <v>13.19</v>
          </cell>
          <cell r="AP59">
            <v>11.3</v>
          </cell>
          <cell r="AQ59">
            <v>0</v>
          </cell>
          <cell r="AR59">
            <v>12.245000000000001</v>
          </cell>
          <cell r="AS59">
            <v>9.9925</v>
          </cell>
          <cell r="AT59">
            <v>12.913333333333332</v>
          </cell>
        </row>
        <row r="60">
          <cell r="A60" t="str">
            <v>Limpa Vidros</v>
          </cell>
          <cell r="B60">
            <v>0</v>
          </cell>
          <cell r="C60" t="str">
            <v>galão 5 litros</v>
          </cell>
          <cell r="D60">
            <v>1</v>
          </cell>
          <cell r="E60">
            <v>0</v>
          </cell>
          <cell r="F60">
            <v>32.5</v>
          </cell>
          <cell r="G60">
            <v>0</v>
          </cell>
          <cell r="H60">
            <v>17</v>
          </cell>
          <cell r="I60">
            <v>0</v>
          </cell>
          <cell r="J60">
            <v>0</v>
          </cell>
          <cell r="K60">
            <v>8.25</v>
          </cell>
          <cell r="L60">
            <v>7.5</v>
          </cell>
          <cell r="M60">
            <v>12.5</v>
          </cell>
          <cell r="N60">
            <v>0</v>
          </cell>
          <cell r="O60">
            <v>17</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14.75</v>
          </cell>
          <cell r="AS60">
            <v>15.791666666666666</v>
          </cell>
          <cell r="AT60">
            <v>15.5</v>
          </cell>
        </row>
        <row r="61">
          <cell r="A61" t="str">
            <v>Limpador de inox</v>
          </cell>
          <cell r="B61" t="str">
            <v>Scoth Brite</v>
          </cell>
          <cell r="C61" t="str">
            <v>1 litro</v>
          </cell>
          <cell r="D61">
            <v>1</v>
          </cell>
          <cell r="E61">
            <v>0</v>
          </cell>
          <cell r="F61">
            <v>0</v>
          </cell>
          <cell r="G61">
            <v>104.37</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23.48</v>
          </cell>
          <cell r="AF61">
            <v>22.36</v>
          </cell>
          <cell r="AG61">
            <v>28.04</v>
          </cell>
          <cell r="AH61">
            <v>0</v>
          </cell>
          <cell r="AI61">
            <v>0</v>
          </cell>
          <cell r="AJ61">
            <v>0</v>
          </cell>
          <cell r="AK61">
            <v>0</v>
          </cell>
          <cell r="AL61">
            <v>0</v>
          </cell>
          <cell r="AM61">
            <v>0</v>
          </cell>
          <cell r="AN61">
            <v>0</v>
          </cell>
          <cell r="AO61">
            <v>0</v>
          </cell>
          <cell r="AP61">
            <v>0</v>
          </cell>
          <cell r="AQ61">
            <v>0</v>
          </cell>
          <cell r="AR61">
            <v>25.759999999999998</v>
          </cell>
          <cell r="AS61">
            <v>44.5625</v>
          </cell>
          <cell r="AT61">
            <v>24.626666666666665</v>
          </cell>
        </row>
        <row r="62">
          <cell r="A62" t="str">
            <v>Limpador multiuso</v>
          </cell>
          <cell r="B62">
            <v>0</v>
          </cell>
          <cell r="C62" t="str">
            <v>galão 5 litros</v>
          </cell>
          <cell r="D62">
            <v>1</v>
          </cell>
          <cell r="E62">
            <v>8.67</v>
          </cell>
          <cell r="F62">
            <v>28.5</v>
          </cell>
          <cell r="G62">
            <v>15.4</v>
          </cell>
          <cell r="H62">
            <v>0</v>
          </cell>
          <cell r="I62">
            <v>0</v>
          </cell>
          <cell r="J62">
            <v>39</v>
          </cell>
          <cell r="K62">
            <v>17.1</v>
          </cell>
          <cell r="L62">
            <v>17.5</v>
          </cell>
          <cell r="M62">
            <v>15</v>
          </cell>
          <cell r="N62">
            <v>10.2</v>
          </cell>
          <cell r="O62">
            <v>0</v>
          </cell>
          <cell r="P62">
            <v>21.5</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17.1</v>
          </cell>
          <cell r="AS62">
            <v>19.207777777777775</v>
          </cell>
          <cell r="AT62">
            <v>17.3</v>
          </cell>
        </row>
        <row r="63">
          <cell r="A63" t="str">
            <v>Lustra Móveis lavanda</v>
          </cell>
          <cell r="B63" t="str">
            <v>DESTAC/POLIFLOR/BRAVO ou superior</v>
          </cell>
          <cell r="C63" t="str">
            <v>Unidade com 200 ml</v>
          </cell>
          <cell r="D63">
            <v>1</v>
          </cell>
          <cell r="E63">
            <v>1.82</v>
          </cell>
          <cell r="F63">
            <v>3.15</v>
          </cell>
          <cell r="G63">
            <v>2.3</v>
          </cell>
          <cell r="H63">
            <v>3.5</v>
          </cell>
          <cell r="I63">
            <v>0</v>
          </cell>
          <cell r="J63">
            <v>0</v>
          </cell>
          <cell r="K63">
            <v>1.89</v>
          </cell>
          <cell r="L63">
            <v>1.2</v>
          </cell>
          <cell r="M63">
            <v>2</v>
          </cell>
          <cell r="N63">
            <v>0</v>
          </cell>
          <cell r="O63">
            <v>2.4</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2.15</v>
          </cell>
          <cell r="AS63">
            <v>2.2824999999999998</v>
          </cell>
          <cell r="AT63">
            <v>2.082</v>
          </cell>
        </row>
        <row r="64">
          <cell r="A64" t="str">
            <v>Luva látex forrada</v>
          </cell>
          <cell r="B64" t="str">
            <v>SANRO/CONFORT/SCOTCH BRITE ou superior</v>
          </cell>
          <cell r="C64" t="str">
            <v>Par</v>
          </cell>
          <cell r="D64">
            <v>1</v>
          </cell>
          <cell r="E64">
            <v>7.8</v>
          </cell>
          <cell r="F64">
            <v>0</v>
          </cell>
          <cell r="G64">
            <v>3.43</v>
          </cell>
          <cell r="H64">
            <v>3</v>
          </cell>
          <cell r="I64">
            <v>0</v>
          </cell>
          <cell r="J64">
            <v>8.6</v>
          </cell>
          <cell r="K64">
            <v>1.53</v>
          </cell>
          <cell r="L64">
            <v>1.75</v>
          </cell>
          <cell r="M64">
            <v>2.3</v>
          </cell>
          <cell r="N64">
            <v>0</v>
          </cell>
          <cell r="O64">
            <v>2.45</v>
          </cell>
          <cell r="P64">
            <v>2.29</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2.45</v>
          </cell>
          <cell r="AS64">
            <v>3.683333333333333</v>
          </cell>
          <cell r="AT64">
            <v>2.3579999999999997</v>
          </cell>
        </row>
        <row r="65">
          <cell r="A65" t="str">
            <v>MOP para pó profissional completo 60 cm cj 60p</v>
          </cell>
          <cell r="B65">
            <v>0</v>
          </cell>
          <cell r="C65" t="str">
            <v>unidade</v>
          </cell>
          <cell r="D65">
            <v>1</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36.5</v>
          </cell>
          <cell r="AR65">
            <v>36.5</v>
          </cell>
          <cell r="AS65">
            <v>36.5</v>
          </cell>
          <cell r="AT65">
            <v>36.5</v>
          </cell>
        </row>
        <row r="66">
          <cell r="A66" t="str">
            <v>Refil MOP pó 400g 60 x15 profissional rp 600</v>
          </cell>
          <cell r="B66">
            <v>0</v>
          </cell>
          <cell r="C66" t="str">
            <v>unidade</v>
          </cell>
          <cell r="D66">
            <v>1</v>
          </cell>
          <cell r="E66">
            <v>0</v>
          </cell>
          <cell r="F66">
            <v>0</v>
          </cell>
          <cell r="G66">
            <v>0</v>
          </cell>
          <cell r="H66">
            <v>0</v>
          </cell>
          <cell r="I66">
            <v>0</v>
          </cell>
          <cell r="J66">
            <v>12.19</v>
          </cell>
          <cell r="K66">
            <v>0</v>
          </cell>
          <cell r="L66">
            <v>0</v>
          </cell>
          <cell r="M66">
            <v>0</v>
          </cell>
          <cell r="N66">
            <v>0</v>
          </cell>
          <cell r="O66">
            <v>28</v>
          </cell>
          <cell r="P66">
            <v>0</v>
          </cell>
          <cell r="Q66">
            <v>0</v>
          </cell>
          <cell r="R66">
            <v>0</v>
          </cell>
          <cell r="S66">
            <v>0</v>
          </cell>
          <cell r="T66">
            <v>0</v>
          </cell>
          <cell r="U66">
            <v>0</v>
          </cell>
          <cell r="V66">
            <v>0</v>
          </cell>
          <cell r="W66">
            <v>0</v>
          </cell>
          <cell r="X66">
            <v>0</v>
          </cell>
          <cell r="Y66">
            <v>0</v>
          </cell>
          <cell r="Z66">
            <v>29.61</v>
          </cell>
          <cell r="AA66">
            <v>27.23</v>
          </cell>
          <cell r="AB66">
            <v>32.61</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28</v>
          </cell>
          <cell r="AS66">
            <v>25.927999999999997</v>
          </cell>
          <cell r="AT66">
            <v>29.3625</v>
          </cell>
        </row>
        <row r="67">
          <cell r="A67" t="str">
            <v>Pano de chão/saco alvejado</v>
          </cell>
          <cell r="B67">
            <v>0</v>
          </cell>
          <cell r="C67" t="str">
            <v>unidade</v>
          </cell>
          <cell r="D67">
            <v>1</v>
          </cell>
          <cell r="E67">
            <v>2.32</v>
          </cell>
          <cell r="F67">
            <v>2.05</v>
          </cell>
          <cell r="G67">
            <v>2.36</v>
          </cell>
          <cell r="H67">
            <v>2.5</v>
          </cell>
          <cell r="I67">
            <v>0</v>
          </cell>
          <cell r="J67">
            <v>1.9</v>
          </cell>
          <cell r="K67">
            <v>1.25</v>
          </cell>
          <cell r="L67">
            <v>1</v>
          </cell>
          <cell r="M67">
            <v>1.2</v>
          </cell>
          <cell r="N67">
            <v>1.14</v>
          </cell>
          <cell r="O67">
            <v>2.3</v>
          </cell>
          <cell r="P67">
            <v>2.55</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2.05</v>
          </cell>
          <cell r="AS67">
            <v>1.87</v>
          </cell>
          <cell r="AT67">
            <v>2.282857142857143</v>
          </cell>
        </row>
        <row r="68">
          <cell r="A68" t="str">
            <v>Pasta para limpeza a seco</v>
          </cell>
          <cell r="B68" t="str">
            <v>Limptek</v>
          </cell>
          <cell r="C68" t="str">
            <v>unidade 500g</v>
          </cell>
          <cell r="D68">
            <v>1</v>
          </cell>
          <cell r="E68">
            <v>0</v>
          </cell>
          <cell r="F68">
            <v>4.25</v>
          </cell>
          <cell r="G68">
            <v>4.26</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4.255</v>
          </cell>
          <cell r="AS68">
            <v>4.255</v>
          </cell>
          <cell r="AT68">
            <v>4.255</v>
          </cell>
        </row>
        <row r="69">
          <cell r="A69" t="str">
            <v>Removedor  para Piso </v>
          </cell>
          <cell r="B69" t="str">
            <v>BRILHANTE/YPE/CÂNDIDA ou superior</v>
          </cell>
          <cell r="C69" t="str">
            <v>galão 5 litros</v>
          </cell>
          <cell r="D69">
            <v>6</v>
          </cell>
          <cell r="E69">
            <v>24.37</v>
          </cell>
          <cell r="F69">
            <v>22.5</v>
          </cell>
          <cell r="G69">
            <v>23.95</v>
          </cell>
          <cell r="H69">
            <v>0</v>
          </cell>
          <cell r="I69">
            <v>0</v>
          </cell>
          <cell r="J69">
            <v>0</v>
          </cell>
          <cell r="K69">
            <v>0</v>
          </cell>
          <cell r="L69">
            <v>24</v>
          </cell>
          <cell r="M69">
            <v>0</v>
          </cell>
          <cell r="N69">
            <v>0</v>
          </cell>
          <cell r="O69">
            <v>26.5</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24</v>
          </cell>
          <cell r="AS69">
            <v>24.264000000000003</v>
          </cell>
          <cell r="AT69">
            <v>24.264000000000003</v>
          </cell>
        </row>
        <row r="70">
          <cell r="A70" t="str">
            <v>Sabão de coco em barra</v>
          </cell>
          <cell r="B70">
            <v>0</v>
          </cell>
          <cell r="C70" t="str">
            <v>pacote com 5 unidades</v>
          </cell>
          <cell r="D70">
            <v>1</v>
          </cell>
          <cell r="E70">
            <v>4.19</v>
          </cell>
          <cell r="F70">
            <v>2.5</v>
          </cell>
          <cell r="G70">
            <v>0</v>
          </cell>
          <cell r="H70">
            <v>2.5</v>
          </cell>
          <cell r="I70">
            <v>0</v>
          </cell>
          <cell r="J70">
            <v>0</v>
          </cell>
          <cell r="K70">
            <v>3.15</v>
          </cell>
          <cell r="L70">
            <v>2.5</v>
          </cell>
          <cell r="M70">
            <v>2.25</v>
          </cell>
          <cell r="N70">
            <v>0</v>
          </cell>
          <cell r="O70">
            <v>3.75</v>
          </cell>
          <cell r="P70">
            <v>2.45</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2.5</v>
          </cell>
          <cell r="AS70">
            <v>2.9112500000000003</v>
          </cell>
          <cell r="AT70">
            <v>2.5583333333333336</v>
          </cell>
        </row>
        <row r="71">
          <cell r="A71" t="str">
            <v>Sabão em pó</v>
          </cell>
          <cell r="B71">
            <v>0</v>
          </cell>
          <cell r="C71" t="str">
            <v>caixa 1 kg</v>
          </cell>
          <cell r="D71">
            <v>1</v>
          </cell>
          <cell r="E71">
            <v>0</v>
          </cell>
          <cell r="F71">
            <v>5.6</v>
          </cell>
          <cell r="G71">
            <v>0</v>
          </cell>
          <cell r="H71">
            <v>0</v>
          </cell>
          <cell r="I71">
            <v>0</v>
          </cell>
          <cell r="J71">
            <v>7.48</v>
          </cell>
          <cell r="K71">
            <v>2.2</v>
          </cell>
          <cell r="L71">
            <v>1.75</v>
          </cell>
          <cell r="M71">
            <v>2.3</v>
          </cell>
          <cell r="N71">
            <v>0</v>
          </cell>
          <cell r="O71">
            <v>3.32</v>
          </cell>
          <cell r="P71">
            <v>2.3</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2.3</v>
          </cell>
          <cell r="AS71">
            <v>3.5642857142857145</v>
          </cell>
          <cell r="AT71">
            <v>2.1375</v>
          </cell>
        </row>
        <row r="72">
          <cell r="A72" t="str">
            <v>Saco para lixo de 100 litros, azul</v>
          </cell>
          <cell r="B72" t="str">
            <v>ZAPACK, ECOMAX REFORÇADO ou superior</v>
          </cell>
          <cell r="C72" t="str">
            <v>Fardo com 100 unidades</v>
          </cell>
          <cell r="D72">
            <v>1</v>
          </cell>
          <cell r="E72">
            <v>0</v>
          </cell>
          <cell r="F72">
            <v>30</v>
          </cell>
          <cell r="G72">
            <v>0</v>
          </cell>
          <cell r="H72">
            <v>11</v>
          </cell>
          <cell r="I72">
            <v>0</v>
          </cell>
          <cell r="J72">
            <v>0</v>
          </cell>
          <cell r="K72">
            <v>0</v>
          </cell>
          <cell r="L72">
            <v>6.5</v>
          </cell>
          <cell r="M72">
            <v>0</v>
          </cell>
          <cell r="N72">
            <v>0</v>
          </cell>
          <cell r="O72">
            <v>24</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15.29</v>
          </cell>
          <cell r="AR72">
            <v>15.29</v>
          </cell>
          <cell r="AS72">
            <v>17.357999999999997</v>
          </cell>
          <cell r="AT72">
            <v>13.145</v>
          </cell>
        </row>
        <row r="73">
          <cell r="A73" t="str">
            <v>Saco para lixo de 100 litros, cor preto</v>
          </cell>
          <cell r="B73" t="str">
            <v>ZAPACK, ECOMAX REFORÇADO ou superior</v>
          </cell>
          <cell r="C73" t="str">
            <v>Fardo com 100 unidades</v>
          </cell>
          <cell r="D73">
            <v>1</v>
          </cell>
          <cell r="E73">
            <v>0</v>
          </cell>
          <cell r="F73">
            <v>30</v>
          </cell>
          <cell r="G73">
            <v>0</v>
          </cell>
          <cell r="H73">
            <v>0</v>
          </cell>
          <cell r="I73">
            <v>0</v>
          </cell>
          <cell r="J73">
            <v>0</v>
          </cell>
          <cell r="K73">
            <v>0</v>
          </cell>
          <cell r="L73">
            <v>0</v>
          </cell>
          <cell r="M73">
            <v>0</v>
          </cell>
          <cell r="N73">
            <v>0</v>
          </cell>
          <cell r="O73">
            <v>24</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36.67</v>
          </cell>
          <cell r="AR73">
            <v>30</v>
          </cell>
          <cell r="AS73">
            <v>30.223333333333333</v>
          </cell>
          <cell r="AT73">
            <v>30.223333333333333</v>
          </cell>
        </row>
        <row r="74">
          <cell r="A74" t="str">
            <v>Saco para lixo de 20 litros,  cor preta</v>
          </cell>
          <cell r="B74" t="str">
            <v>ZAPACK, ECOMAX REFORÇADO ou superior</v>
          </cell>
          <cell r="C74" t="str">
            <v>Fardo com 100 unidades</v>
          </cell>
          <cell r="D74">
            <v>1</v>
          </cell>
          <cell r="E74">
            <v>0</v>
          </cell>
          <cell r="F74">
            <v>7.45</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4.51</v>
          </cell>
          <cell r="AR74">
            <v>5.98</v>
          </cell>
          <cell r="AS74">
            <v>5.98</v>
          </cell>
          <cell r="AT74">
            <v>5.98</v>
          </cell>
        </row>
        <row r="75">
          <cell r="A75" t="str">
            <v>Saco para lixo de 40 litros, cor preta</v>
          </cell>
          <cell r="B75" t="str">
            <v>ZAPACK, ECOMAX REFORÇADO ou superior</v>
          </cell>
          <cell r="C75" t="str">
            <v>Fardo com 100 unidades</v>
          </cell>
          <cell r="D75">
            <v>1</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12.8</v>
          </cell>
          <cell r="AR75">
            <v>12.8</v>
          </cell>
          <cell r="AS75">
            <v>12.8</v>
          </cell>
          <cell r="AT75">
            <v>12.8</v>
          </cell>
        </row>
        <row r="76">
          <cell r="A76" t="str">
            <v>Saco para lixo de 60 litros,  cor preto</v>
          </cell>
          <cell r="B76" t="str">
            <v>ZAPACK, ECOMAX REFORÇADO ou superior</v>
          </cell>
          <cell r="C76" t="str">
            <v>Fardo com 100 unidades</v>
          </cell>
          <cell r="D76">
            <v>1</v>
          </cell>
          <cell r="E76">
            <v>0</v>
          </cell>
          <cell r="F76">
            <v>10.8</v>
          </cell>
          <cell r="G76">
            <v>0</v>
          </cell>
          <cell r="H76">
            <v>6</v>
          </cell>
          <cell r="I76">
            <v>0</v>
          </cell>
          <cell r="J76">
            <v>0</v>
          </cell>
          <cell r="K76">
            <v>0</v>
          </cell>
          <cell r="L76">
            <v>0</v>
          </cell>
          <cell r="M76">
            <v>6</v>
          </cell>
          <cell r="N76">
            <v>27.8</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8.4</v>
          </cell>
          <cell r="AS76">
            <v>12.65</v>
          </cell>
          <cell r="AT76">
            <v>7.6000000000000005</v>
          </cell>
        </row>
        <row r="77">
          <cell r="A77" t="str">
            <v>Saponáceo Cremoso</v>
          </cell>
          <cell r="B77">
            <v>0</v>
          </cell>
          <cell r="C77" t="str">
            <v>frasco 300 ml</v>
          </cell>
          <cell r="D77">
            <v>1</v>
          </cell>
          <cell r="E77">
            <v>0</v>
          </cell>
          <cell r="F77">
            <v>3.2</v>
          </cell>
          <cell r="G77">
            <v>0</v>
          </cell>
          <cell r="H77">
            <v>0</v>
          </cell>
          <cell r="I77">
            <v>0</v>
          </cell>
          <cell r="J77">
            <v>0</v>
          </cell>
          <cell r="K77">
            <v>0</v>
          </cell>
          <cell r="L77">
            <v>0</v>
          </cell>
          <cell r="M77">
            <v>0</v>
          </cell>
          <cell r="N77">
            <v>0</v>
          </cell>
          <cell r="O77">
            <v>1.99</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2.56</v>
          </cell>
          <cell r="AR77">
            <v>2.56</v>
          </cell>
          <cell r="AS77">
            <v>2.5833333333333335</v>
          </cell>
          <cell r="AT77">
            <v>2.5833333333333335</v>
          </cell>
        </row>
        <row r="78">
          <cell r="A78" t="str">
            <v>Spray anti-mofo</v>
          </cell>
          <cell r="B78" t="str">
            <v>Sanol</v>
          </cell>
          <cell r="C78" t="str">
            <v>frasco 300 ml</v>
          </cell>
          <cell r="D78">
            <v>1</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22.5</v>
          </cell>
          <cell r="AH78">
            <v>16.98</v>
          </cell>
          <cell r="AI78">
            <v>18.5</v>
          </cell>
          <cell r="AJ78">
            <v>0</v>
          </cell>
          <cell r="AK78">
            <v>0</v>
          </cell>
          <cell r="AL78">
            <v>0</v>
          </cell>
          <cell r="AM78">
            <v>0</v>
          </cell>
          <cell r="AN78">
            <v>0</v>
          </cell>
          <cell r="AO78">
            <v>0</v>
          </cell>
          <cell r="AP78">
            <v>0</v>
          </cell>
          <cell r="AQ78">
            <v>0</v>
          </cell>
          <cell r="AR78">
            <v>18.5</v>
          </cell>
          <cell r="AS78">
            <v>19.326666666666668</v>
          </cell>
          <cell r="AT78">
            <v>19.326666666666668</v>
          </cell>
        </row>
        <row r="79">
          <cell r="A79" t="str">
            <v>Vaselina líquida</v>
          </cell>
          <cell r="B79">
            <v>0</v>
          </cell>
          <cell r="C79" t="str">
            <v>frasco 1 L</v>
          </cell>
          <cell r="D79">
            <v>1</v>
          </cell>
          <cell r="E79">
            <v>0</v>
          </cell>
          <cell r="F79">
            <v>0</v>
          </cell>
          <cell r="G79">
            <v>0</v>
          </cell>
          <cell r="H79">
            <v>0</v>
          </cell>
          <cell r="I79">
            <v>0</v>
          </cell>
          <cell r="J79">
            <v>24</v>
          </cell>
          <cell r="K79">
            <v>0</v>
          </cell>
          <cell r="L79">
            <v>4</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26.4</v>
          </cell>
          <cell r="AR79">
            <v>24</v>
          </cell>
          <cell r="AS79">
            <v>18.133333333333333</v>
          </cell>
          <cell r="AT79">
            <v>25.2</v>
          </cell>
        </row>
        <row r="80">
          <cell r="A80" t="str">
            <v>Limpador perfumado base de álcool</v>
          </cell>
          <cell r="B80">
            <v>0</v>
          </cell>
          <cell r="C80" t="str">
            <v>galão 5 litros</v>
          </cell>
          <cell r="D80">
            <v>1</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14</v>
          </cell>
          <cell r="AK80">
            <v>13.86</v>
          </cell>
          <cell r="AL80">
            <v>18.49</v>
          </cell>
          <cell r="AM80">
            <v>26.66</v>
          </cell>
          <cell r="AN80">
            <v>0</v>
          </cell>
          <cell r="AO80">
            <v>0</v>
          </cell>
          <cell r="AP80">
            <v>0</v>
          </cell>
          <cell r="AQ80">
            <v>0</v>
          </cell>
          <cell r="AR80">
            <v>16.244999999999997</v>
          </cell>
          <cell r="AS80">
            <v>18.252499999999998</v>
          </cell>
          <cell r="AT80">
            <v>15.449999999999998</v>
          </cell>
        </row>
        <row r="81">
          <cell r="A81" t="str">
            <v>Cera líquida incolor</v>
          </cell>
          <cell r="B81" t="str">
            <v>YPE/D+ ou superior</v>
          </cell>
          <cell r="C81" t="str">
            <v>galão 5 litros</v>
          </cell>
          <cell r="D81">
            <v>1</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29.23</v>
          </cell>
          <cell r="AR81">
            <v>29.23</v>
          </cell>
          <cell r="AS81">
            <v>29.23</v>
          </cell>
          <cell r="AT81">
            <v>29.23</v>
          </cell>
        </row>
        <row r="82">
          <cell r="A82" t="str">
            <v>Cera líquida preta</v>
          </cell>
          <cell r="B82" t="str">
            <v>YPE/D+ ou superior</v>
          </cell>
          <cell r="C82" t="str">
            <v>galão 5 litros</v>
          </cell>
          <cell r="D82">
            <v>1</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22.22</v>
          </cell>
          <cell r="AR82">
            <v>22.22</v>
          </cell>
          <cell r="AS82">
            <v>22.22</v>
          </cell>
          <cell r="AT82">
            <v>22.22</v>
          </cell>
        </row>
        <row r="83">
          <cell r="A83" t="str">
            <v>Óleo de Peroba</v>
          </cell>
          <cell r="B83">
            <v>0</v>
          </cell>
          <cell r="C83" t="str">
            <v>200 ml</v>
          </cell>
          <cell r="D83">
            <v>1</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10.12</v>
          </cell>
          <cell r="AR83">
            <v>10.12</v>
          </cell>
          <cell r="AS83">
            <v>10.12</v>
          </cell>
          <cell r="AT83">
            <v>10.12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rvente de Limpeza Líder"/>
      <sheetName val="Limpador de Vidros"/>
      <sheetName val="Uniformes"/>
      <sheetName val="Produtividade IN 05-2017"/>
      <sheetName val="Produtividade x M2"/>
      <sheetName val="Proposta Comercia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quipe não residente_manut "/>
      <sheetName val="Equipe não residente eventual"/>
      <sheetName val="Composição"/>
      <sheetName val="Insumos"/>
    </sheetNames>
    <sheetDataSet>
      <sheetData sheetId="2">
        <row r="2">
          <cell r="A2" t="str">
            <v>Descrição</v>
          </cell>
          <cell r="B2" t="str">
            <v>Cod. SINAP</v>
          </cell>
          <cell r="C2" t="str">
            <v>CBO</v>
          </cell>
          <cell r="D2" t="str">
            <v>Valor</v>
          </cell>
          <cell r="E2" t="str">
            <v>H/M</v>
          </cell>
          <cell r="F2" t="str">
            <v>Insumos</v>
          </cell>
          <cell r="G2" t="str">
            <v>TOTAL</v>
          </cell>
        </row>
        <row r="3">
          <cell r="A3" t="str">
            <v>Ajudante de Eletricista</v>
          </cell>
          <cell r="B3">
            <v>88247</v>
          </cell>
          <cell r="C3" t="str">
            <v>7156-15</v>
          </cell>
          <cell r="D3">
            <v>20.2</v>
          </cell>
          <cell r="E3" t="str">
            <v>Horista</v>
          </cell>
          <cell r="F3">
            <v>15.86</v>
          </cell>
          <cell r="G3">
            <v>36.06</v>
          </cell>
        </row>
        <row r="4">
          <cell r="A4" t="str">
            <v>Oficial de Manutenção</v>
          </cell>
          <cell r="B4">
            <v>88264</v>
          </cell>
          <cell r="C4" t="str">
            <v>5143-25 </v>
          </cell>
          <cell r="D4">
            <v>26.41</v>
          </cell>
          <cell r="E4" t="str">
            <v>Horista</v>
          </cell>
          <cell r="F4">
            <v>15.86</v>
          </cell>
          <cell r="G4">
            <v>42.269999999999996</v>
          </cell>
        </row>
        <row r="5">
          <cell r="A5" t="str">
            <v>Oficial Eletricista</v>
          </cell>
          <cell r="B5">
            <v>88264</v>
          </cell>
          <cell r="C5">
            <v>7156</v>
          </cell>
          <cell r="D5">
            <v>26.41</v>
          </cell>
          <cell r="E5" t="str">
            <v>Horista</v>
          </cell>
          <cell r="F5">
            <v>21.91</v>
          </cell>
          <cell r="G5">
            <v>48.32</v>
          </cell>
        </row>
        <row r="6">
          <cell r="A6" t="str">
            <v>Eletricista Industrial</v>
          </cell>
          <cell r="B6">
            <v>88265</v>
          </cell>
          <cell r="C6">
            <v>951</v>
          </cell>
          <cell r="D6">
            <v>27.46</v>
          </cell>
          <cell r="E6" t="str">
            <v>Horista</v>
          </cell>
          <cell r="F6">
            <v>22.94</v>
          </cell>
          <cell r="G6">
            <v>50.400000000000006</v>
          </cell>
        </row>
        <row r="7">
          <cell r="A7" t="str">
            <v>Auxiliar de Encanador</v>
          </cell>
          <cell r="B7">
            <v>88248</v>
          </cell>
          <cell r="C7" t="str">
            <v>7241-10</v>
          </cell>
          <cell r="D7">
            <v>19.66</v>
          </cell>
          <cell r="E7" t="str">
            <v>Horista</v>
          </cell>
          <cell r="F7">
            <v>15.52</v>
          </cell>
          <cell r="G7">
            <v>35.18</v>
          </cell>
        </row>
        <row r="8">
          <cell r="A8" t="str">
            <v>Oficial Encanador</v>
          </cell>
          <cell r="B8">
            <v>88267</v>
          </cell>
          <cell r="C8">
            <v>7241</v>
          </cell>
          <cell r="D8">
            <v>25.68</v>
          </cell>
          <cell r="E8" t="str">
            <v>Horista</v>
          </cell>
          <cell r="F8">
            <v>21.46</v>
          </cell>
          <cell r="G8">
            <v>47.14</v>
          </cell>
        </row>
        <row r="9">
          <cell r="A9" t="str">
            <v>Azulejista</v>
          </cell>
          <cell r="B9">
            <v>88256</v>
          </cell>
          <cell r="C9" t="str">
            <v>7165-10</v>
          </cell>
          <cell r="D9">
            <v>24.39</v>
          </cell>
          <cell r="E9" t="str">
            <v>Horista</v>
          </cell>
          <cell r="F9">
            <v>18.71</v>
          </cell>
          <cell r="G9">
            <v>43.1</v>
          </cell>
        </row>
        <row r="10">
          <cell r="A10" t="str">
            <v>Engenheiro Civil</v>
          </cell>
          <cell r="B10">
            <v>90779</v>
          </cell>
          <cell r="C10" t="str">
            <v>2142-05</v>
          </cell>
          <cell r="D10">
            <v>145.72</v>
          </cell>
          <cell r="E10" t="str">
            <v>Horista</v>
          </cell>
          <cell r="F10">
            <v>144.79</v>
          </cell>
          <cell r="G10">
            <v>290.51</v>
          </cell>
        </row>
        <row r="11">
          <cell r="A11" t="str">
            <v>Marceneiro</v>
          </cell>
          <cell r="B11">
            <v>88273</v>
          </cell>
          <cell r="C11" t="str">
            <v>7711-05</v>
          </cell>
          <cell r="D11">
            <v>24.29</v>
          </cell>
          <cell r="E11" t="str">
            <v>Horista</v>
          </cell>
          <cell r="F11">
            <v>18.71</v>
          </cell>
          <cell r="G11">
            <v>43</v>
          </cell>
        </row>
        <row r="12">
          <cell r="A12" t="str">
            <v>Pedreiro</v>
          </cell>
          <cell r="B12">
            <v>88309</v>
          </cell>
          <cell r="C12" t="str">
            <v>7152-10</v>
          </cell>
          <cell r="D12">
            <v>24.48</v>
          </cell>
          <cell r="E12" t="str">
            <v>Horista</v>
          </cell>
          <cell r="F12">
            <v>20.24</v>
          </cell>
          <cell r="G12">
            <v>44.72</v>
          </cell>
        </row>
        <row r="13">
          <cell r="A13" t="str">
            <v>Pintor</v>
          </cell>
          <cell r="B13">
            <v>88310</v>
          </cell>
          <cell r="C13" t="str">
            <v>7233-10</v>
          </cell>
          <cell r="D13">
            <v>28.17</v>
          </cell>
          <cell r="E13" t="str">
            <v>Horista</v>
          </cell>
          <cell r="F13">
            <v>23.990000000000002</v>
          </cell>
          <cell r="G13">
            <v>52.160000000000004</v>
          </cell>
        </row>
        <row r="14">
          <cell r="A14" t="str">
            <v>Técnico de cabeamento estruturado</v>
          </cell>
          <cell r="B14">
            <v>88266</v>
          </cell>
          <cell r="C14" t="str">
            <v>7313-25</v>
          </cell>
          <cell r="D14">
            <v>35.21</v>
          </cell>
          <cell r="E14" t="str">
            <v>Horista</v>
          </cell>
          <cell r="F14">
            <v>0</v>
          </cell>
          <cell r="G14">
            <v>35.21</v>
          </cell>
        </row>
        <row r="15">
          <cell r="A15" t="str">
            <v>Técnico de manutenção eletrônica/eletrotécnico</v>
          </cell>
          <cell r="B15">
            <v>88266</v>
          </cell>
          <cell r="C15" t="str">
            <v>3132-05</v>
          </cell>
          <cell r="D15">
            <v>35.21</v>
          </cell>
          <cell r="E15" t="str">
            <v>Horista</v>
          </cell>
          <cell r="F15">
            <v>0</v>
          </cell>
          <cell r="G15">
            <v>35.21</v>
          </cell>
        </row>
        <row r="16">
          <cell r="A16" t="str">
            <v>Telhadista/Telhador</v>
          </cell>
          <cell r="B16">
            <v>88323</v>
          </cell>
          <cell r="C16" t="str">
            <v>7652-35</v>
          </cell>
          <cell r="D16">
            <v>23.87</v>
          </cell>
          <cell r="E16" t="str">
            <v>Horista</v>
          </cell>
          <cell r="F16">
            <v>18.33</v>
          </cell>
          <cell r="G16">
            <v>42.2</v>
          </cell>
        </row>
        <row r="17">
          <cell r="A17" t="str">
            <v>Serralheiro</v>
          </cell>
          <cell r="B17">
            <v>88315</v>
          </cell>
          <cell r="C17" t="str">
            <v>7244-40</v>
          </cell>
          <cell r="D17">
            <v>24.35</v>
          </cell>
          <cell r="E17" t="str">
            <v>Horista</v>
          </cell>
          <cell r="F17">
            <v>18.71</v>
          </cell>
          <cell r="G17">
            <v>43.06</v>
          </cell>
        </row>
        <row r="18">
          <cell r="A18" t="str">
            <v>Mecânico manutenção, instalação de aparelho climatização/refrigeração</v>
          </cell>
          <cell r="B18">
            <v>100308</v>
          </cell>
          <cell r="C18" t="str">
            <v>9112-5</v>
          </cell>
          <cell r="D18">
            <v>27.97</v>
          </cell>
          <cell r="E18" t="str">
            <v>Horista</v>
          </cell>
          <cell r="F18">
            <v>22.05</v>
          </cell>
          <cell r="G18">
            <v>50.019999999999996</v>
          </cell>
        </row>
        <row r="19">
          <cell r="A19" t="str">
            <v>Jardineiro</v>
          </cell>
          <cell r="B19">
            <v>88441</v>
          </cell>
          <cell r="C19" t="str">
            <v>6220-20</v>
          </cell>
          <cell r="D19">
            <v>23.64</v>
          </cell>
          <cell r="E19" t="str">
            <v>Horista</v>
          </cell>
          <cell r="F19">
            <v>18.09</v>
          </cell>
          <cell r="G19">
            <v>41.730000000000004</v>
          </cell>
        </row>
        <row r="20">
          <cell r="A20" t="str">
            <v>Encarregado geral</v>
          </cell>
          <cell r="B20">
            <v>90776</v>
          </cell>
          <cell r="C20" t="str">
            <v>7102-05</v>
          </cell>
          <cell r="D20">
            <v>34.74</v>
          </cell>
          <cell r="E20" t="str">
            <v>Horista</v>
          </cell>
          <cell r="F20">
            <v>33.63999999999999</v>
          </cell>
          <cell r="G20">
            <v>68.38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rvente de Limpeza Líder"/>
      <sheetName val="Limpador de Vidros"/>
      <sheetName val="EPI's"/>
      <sheetName val="Produtividade IN 05-2017"/>
      <sheetName val="Produtividade x M2"/>
      <sheetName val="Proposta Comercial"/>
      <sheetName val="EPI's (2)"/>
      <sheetName val="Plan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ela de Referencia"/>
      <sheetName val="Custo Total"/>
      <sheetName val="Sede"/>
      <sheetName val="Educacao"/>
      <sheetName val="Aracatuba"/>
      <sheetName val="Barretos"/>
      <sheetName val="Botucatu"/>
      <sheetName val="Campinas"/>
      <sheetName val="Guarulhos"/>
      <sheetName val="Itapetininga"/>
      <sheetName val="Marília"/>
      <sheetName val="Osasco"/>
      <sheetName val="Prudente"/>
      <sheetName val="Rib Preto"/>
      <sheetName val="Sto André"/>
      <sheetName val="Santos"/>
      <sheetName val="S J Campos"/>
      <sheetName val="S J Rio Preto"/>
      <sheetName val="Registro_Sorocaba"/>
      <sheetName val="Sto Amaro"/>
      <sheetName val="Plan1"/>
    </sheetNames>
    <sheetDataSet>
      <sheetData sheetId="0">
        <row r="11">
          <cell r="A11" t="str">
            <v>ESPECIFICAÇÃO</v>
          </cell>
          <cell r="B11" t="str">
            <v>Unidade</v>
          </cell>
          <cell r="C11" t="str">
            <v>*Reposição  a cada quantos MESES?</v>
          </cell>
          <cell r="D11" t="str">
            <v>Preço unitário (1)</v>
          </cell>
          <cell r="E11" t="str">
            <v>Preço unitário (2)</v>
          </cell>
          <cell r="F11" t="str">
            <v>Preço unitário (3)</v>
          </cell>
          <cell r="G11" t="str">
            <v>Preço unitário (4)</v>
          </cell>
          <cell r="H11" t="str">
            <v>Preço unitário (5)</v>
          </cell>
          <cell r="I11" t="str">
            <v>Preço Unitário (6)</v>
          </cell>
          <cell r="J11" t="str">
            <v>Preço Unitário (7)</v>
          </cell>
          <cell r="K11" t="str">
            <v>Preço Unitário (8)</v>
          </cell>
          <cell r="L11" t="str">
            <v>Preço Unitário (9)</v>
          </cell>
          <cell r="M11" t="str">
            <v>Preço Unitário (10)</v>
          </cell>
          <cell r="N11" t="str">
            <v>Preço Unitário (11)</v>
          </cell>
          <cell r="O11" t="str">
            <v>Preço Unitário (12)</v>
          </cell>
          <cell r="P11" t="str">
            <v>Preço Unitário (13)</v>
          </cell>
          <cell r="Q11" t="str">
            <v>Preço Unitário (14)</v>
          </cell>
          <cell r="R11" t="str">
            <v>Preço Unitário (15)</v>
          </cell>
          <cell r="S11" t="str">
            <v>Preço Unitário (16)</v>
          </cell>
          <cell r="T11" t="str">
            <v>Preço Unitário (17)</v>
          </cell>
          <cell r="U11" t="str">
            <v>Preço Unitário (18)</v>
          </cell>
          <cell r="V11" t="str">
            <v>Preço Unitário (19)</v>
          </cell>
          <cell r="W11" t="str">
            <v>Preço Unitário (20)</v>
          </cell>
          <cell r="X11" t="str">
            <v>Preço Unitário (21)</v>
          </cell>
          <cell r="Y11" t="str">
            <v>Preço Unitário (22)</v>
          </cell>
          <cell r="Z11" t="str">
            <v>Preço Unitário (23)</v>
          </cell>
          <cell r="AA11" t="str">
            <v>Preço Unitário (24)</v>
          </cell>
          <cell r="AB11" t="str">
            <v>Preço Unitário (25)</v>
          </cell>
          <cell r="AC11" t="str">
            <v>Preço Unitário (26)</v>
          </cell>
          <cell r="AD11" t="str">
            <v>Preço Unitário (27)</v>
          </cell>
          <cell r="AE11" t="str">
            <v>Preço Unitário (28)</v>
          </cell>
          <cell r="AF11" t="str">
            <v>Preço Unitário (29)</v>
          </cell>
          <cell r="AG11" t="str">
            <v>Preço Unitário (30)</v>
          </cell>
          <cell r="AH11" t="str">
            <v>Preço Unitário (31)</v>
          </cell>
          <cell r="AI11" t="str">
            <v>Preço Unitário (32)</v>
          </cell>
          <cell r="AJ11" t="str">
            <v>Preço Unitário (33)</v>
          </cell>
          <cell r="AK11" t="str">
            <v>Preço Unitário (34)</v>
          </cell>
          <cell r="AL11" t="str">
            <v>Preço Unitário (35)</v>
          </cell>
          <cell r="AM11" t="str">
            <v>Preço Unitário (36)</v>
          </cell>
          <cell r="AN11" t="str">
            <v>Preço Unitário (37)</v>
          </cell>
          <cell r="AO11" t="str">
            <v>Preço Unitário (38)</v>
          </cell>
          <cell r="AP11" t="str">
            <v>Preço Unitário (39)</v>
          </cell>
          <cell r="AQ11" t="str">
            <v>Preço mediano</v>
          </cell>
          <cell r="AR11" t="str">
            <v>Preço unitário (média simples)</v>
          </cell>
          <cell r="AS11" t="str">
            <v>Preço unitário médio (desconsiderando 30% de variação para +/- )</v>
          </cell>
        </row>
        <row r="12">
          <cell r="A12" t="str">
            <v>Aspirador de pó e água, Material: tanque em aço inox, Capacidade 20 litros, tensão alimentação 220 v, características adicionais: bocais, prolongador e filtro. Potência 1.400 w.</v>
          </cell>
          <cell r="B12" t="str">
            <v>Unidade</v>
          </cell>
          <cell r="C12">
            <v>60</v>
          </cell>
          <cell r="D12">
            <v>800</v>
          </cell>
          <cell r="E12">
            <v>200</v>
          </cell>
          <cell r="F12">
            <v>250</v>
          </cell>
          <cell r="G12">
            <v>170</v>
          </cell>
          <cell r="H12">
            <v>1239</v>
          </cell>
          <cell r="I12">
            <v>150</v>
          </cell>
          <cell r="J12">
            <v>300</v>
          </cell>
          <cell r="K12">
            <v>170.91</v>
          </cell>
          <cell r="L12">
            <v>400</v>
          </cell>
          <cell r="M12">
            <v>300</v>
          </cell>
          <cell r="N12">
            <v>467.15</v>
          </cell>
          <cell r="O12">
            <v>300</v>
          </cell>
          <cell r="P12">
            <v>404.2781818181818</v>
          </cell>
          <cell r="Q12">
            <v>283.3333333333333</v>
          </cell>
        </row>
        <row r="13">
          <cell r="A13" t="str">
            <v>Balde plástico de 10 litros</v>
          </cell>
          <cell r="B13" t="str">
            <v>Unidade</v>
          </cell>
          <cell r="C13">
            <v>4</v>
          </cell>
          <cell r="D13">
            <v>7.55</v>
          </cell>
          <cell r="E13">
            <v>8.6</v>
          </cell>
          <cell r="F13">
            <v>14.27</v>
          </cell>
          <cell r="G13">
            <v>11.5</v>
          </cell>
          <cell r="H13">
            <v>4.89</v>
          </cell>
          <cell r="I13">
            <v>3.5</v>
          </cell>
          <cell r="J13">
            <v>5</v>
          </cell>
          <cell r="K13">
            <v>12.63</v>
          </cell>
          <cell r="L13">
            <v>3.66</v>
          </cell>
          <cell r="M13">
            <v>7.55</v>
          </cell>
          <cell r="N13">
            <v>7.55</v>
          </cell>
          <cell r="O13">
            <v>7.914999999999999</v>
          </cell>
          <cell r="P13">
            <v>7.8999999999999995</v>
          </cell>
        </row>
        <row r="14">
          <cell r="A14" t="str">
            <v>Balde plástico de 5 litros</v>
          </cell>
          <cell r="B14" t="str">
            <v>Unidade</v>
          </cell>
          <cell r="C14">
            <v>4</v>
          </cell>
          <cell r="D14">
            <v>8.5</v>
          </cell>
          <cell r="E14">
            <v>8.5</v>
          </cell>
          <cell r="F14">
            <v>6.41</v>
          </cell>
          <cell r="G14">
            <v>8.5</v>
          </cell>
          <cell r="H14">
            <v>7.803333333333334</v>
          </cell>
          <cell r="I14">
            <v>7.803333333333334</v>
          </cell>
        </row>
        <row r="15">
          <cell r="A15" t="str">
            <v>Cone 75cm</v>
          </cell>
          <cell r="B15" t="str">
            <v>Unidade</v>
          </cell>
          <cell r="C15">
            <v>60</v>
          </cell>
          <cell r="D15">
            <v>37.47</v>
          </cell>
          <cell r="E15">
            <v>37.47</v>
          </cell>
          <cell r="F15">
            <v>37.47</v>
          </cell>
          <cell r="G15">
            <v>37.47</v>
          </cell>
        </row>
        <row r="16">
          <cell r="A16" t="str">
            <v>Enceradeira industrial</v>
          </cell>
          <cell r="B16" t="str">
            <v>Unidade</v>
          </cell>
          <cell r="C16">
            <v>60</v>
          </cell>
          <cell r="D16">
            <v>1219.87</v>
          </cell>
          <cell r="E16">
            <v>1199</v>
          </cell>
          <cell r="F16">
            <v>750</v>
          </cell>
          <cell r="G16">
            <v>1168</v>
          </cell>
          <cell r="H16">
            <v>1050</v>
          </cell>
          <cell r="I16">
            <v>970</v>
          </cell>
          <cell r="J16">
            <v>1109</v>
          </cell>
          <cell r="K16">
            <v>1059.4783333333332</v>
          </cell>
          <cell r="L16">
            <v>1121.374</v>
          </cell>
        </row>
        <row r="17">
          <cell r="A17" t="str">
            <v>Escada de aço/alumínio 7 degraus</v>
          </cell>
          <cell r="B17" t="str">
            <v>Unidade</v>
          </cell>
          <cell r="C17">
            <v>24</v>
          </cell>
          <cell r="D17">
            <v>331</v>
          </cell>
          <cell r="E17">
            <v>120</v>
          </cell>
          <cell r="F17">
            <v>150</v>
          </cell>
          <cell r="G17">
            <v>57.5</v>
          </cell>
          <cell r="H17">
            <v>197.05</v>
          </cell>
          <cell r="I17">
            <v>180</v>
          </cell>
          <cell r="J17">
            <v>50</v>
          </cell>
          <cell r="K17">
            <v>150</v>
          </cell>
          <cell r="L17">
            <v>155.07857142857142</v>
          </cell>
          <cell r="M17">
            <v>150</v>
          </cell>
        </row>
        <row r="18">
          <cell r="A18" t="str">
            <v>Escada alumínio, 3 degraus com banqueta</v>
          </cell>
          <cell r="B18" t="str">
            <v>Unidade</v>
          </cell>
          <cell r="C18">
            <v>24</v>
          </cell>
          <cell r="D18">
            <v>93.09</v>
          </cell>
          <cell r="E18">
            <v>93.09</v>
          </cell>
          <cell r="F18">
            <v>93.09</v>
          </cell>
          <cell r="G18">
            <v>93.09</v>
          </cell>
        </row>
        <row r="19">
          <cell r="A19" t="str">
            <v>Escada alumínio, 4  degraus </v>
          </cell>
          <cell r="B19" t="str">
            <v>Unidade</v>
          </cell>
          <cell r="C19">
            <v>24</v>
          </cell>
          <cell r="D19">
            <v>198</v>
          </cell>
          <cell r="E19">
            <v>96</v>
          </cell>
          <cell r="F19">
            <v>97.9</v>
          </cell>
          <cell r="G19">
            <v>128.98</v>
          </cell>
          <cell r="H19">
            <v>113.44</v>
          </cell>
          <cell r="I19">
            <v>130.22</v>
          </cell>
          <cell r="J19">
            <v>107.62666666666667</v>
          </cell>
        </row>
        <row r="20">
          <cell r="A20" t="str">
            <v>Espanador Sintético longo</v>
          </cell>
          <cell r="B20" t="str">
            <v>Unidade</v>
          </cell>
          <cell r="C20">
            <v>6</v>
          </cell>
          <cell r="D20">
            <v>11.86</v>
          </cell>
          <cell r="E20">
            <v>11.86</v>
          </cell>
          <cell r="F20">
            <v>11.86</v>
          </cell>
          <cell r="G20">
            <v>11.86</v>
          </cell>
        </row>
        <row r="21">
          <cell r="A21" t="str">
            <v>Extensão Elétrica, 30 metros</v>
          </cell>
          <cell r="B21" t="str">
            <v>Unidade</v>
          </cell>
          <cell r="C21">
            <v>12</v>
          </cell>
          <cell r="D21">
            <v>82.36</v>
          </cell>
          <cell r="E21">
            <v>82.36</v>
          </cell>
          <cell r="F21">
            <v>82.36</v>
          </cell>
          <cell r="G21">
            <v>82.36</v>
          </cell>
        </row>
        <row r="22">
          <cell r="A22" t="str">
            <v>Extensão Elétrica, 40 metros</v>
          </cell>
          <cell r="B22" t="str">
            <v>Unidade</v>
          </cell>
          <cell r="C22">
            <v>12</v>
          </cell>
          <cell r="D22">
            <v>47.69</v>
          </cell>
          <cell r="E22">
            <v>47.69</v>
          </cell>
          <cell r="F22">
            <v>47.69</v>
          </cell>
          <cell r="G22">
            <v>47.69</v>
          </cell>
        </row>
        <row r="23">
          <cell r="A23" t="str">
            <v>Kit limpeza pesada (suporte LT)</v>
          </cell>
          <cell r="B23" t="str">
            <v>Unidade</v>
          </cell>
          <cell r="C23">
            <v>6</v>
          </cell>
          <cell r="D23">
            <v>22.32</v>
          </cell>
          <cell r="E23">
            <v>22.32</v>
          </cell>
          <cell r="F23">
            <v>22.32</v>
          </cell>
          <cell r="G23">
            <v>22.32</v>
          </cell>
        </row>
        <row r="24">
          <cell r="A24" t="str">
            <v>Lavadora de alta pressão, com  mangueira longa</v>
          </cell>
          <cell r="B24" t="str">
            <v>máquina jateadora</v>
          </cell>
          <cell r="C24">
            <v>60</v>
          </cell>
          <cell r="D24">
            <v>869.61</v>
          </cell>
          <cell r="E24">
            <v>350</v>
          </cell>
          <cell r="F24">
            <v>289</v>
          </cell>
          <cell r="G24">
            <v>190</v>
          </cell>
          <cell r="H24">
            <v>280</v>
          </cell>
          <cell r="I24">
            <v>1050</v>
          </cell>
          <cell r="J24">
            <v>536</v>
          </cell>
          <cell r="K24">
            <v>350</v>
          </cell>
          <cell r="L24">
            <v>509.23</v>
          </cell>
          <cell r="M24">
            <v>306.3333333333333</v>
          </cell>
        </row>
        <row r="25">
          <cell r="A25" t="str">
            <v>Lavadora tanquinho</v>
          </cell>
          <cell r="B25" t="str">
            <v>Unidade</v>
          </cell>
          <cell r="C25">
            <v>60</v>
          </cell>
          <cell r="D25">
            <v>448.94</v>
          </cell>
          <cell r="E25">
            <v>448.94</v>
          </cell>
          <cell r="F25">
            <v>448.94</v>
          </cell>
          <cell r="G25">
            <v>448.94</v>
          </cell>
        </row>
        <row r="26">
          <cell r="A26" t="str">
            <v>Mangueira 20 metros esguicho</v>
          </cell>
          <cell r="B26" t="str">
            <v>Unidade</v>
          </cell>
          <cell r="C26">
            <v>12</v>
          </cell>
          <cell r="D26">
            <v>26.53</v>
          </cell>
          <cell r="E26">
            <v>26.53</v>
          </cell>
          <cell r="F26">
            <v>26.53</v>
          </cell>
          <cell r="G26">
            <v>26.53</v>
          </cell>
        </row>
        <row r="27">
          <cell r="A27" t="str">
            <v>Mangueira 60 metros esguicho</v>
          </cell>
          <cell r="B27" t="str">
            <v>Unidade</v>
          </cell>
          <cell r="C27">
            <v>12</v>
          </cell>
          <cell r="D27">
            <v>120</v>
          </cell>
          <cell r="E27">
            <v>110</v>
          </cell>
          <cell r="F27">
            <v>80</v>
          </cell>
          <cell r="G27">
            <v>59.22</v>
          </cell>
          <cell r="H27">
            <v>40</v>
          </cell>
          <cell r="I27">
            <v>195</v>
          </cell>
          <cell r="J27">
            <v>55</v>
          </cell>
          <cell r="K27">
            <v>91.12</v>
          </cell>
          <cell r="L27">
            <v>85.56</v>
          </cell>
          <cell r="M27">
            <v>93.7925</v>
          </cell>
          <cell r="N27">
            <v>93.70666666666666</v>
          </cell>
        </row>
        <row r="28">
          <cell r="A28" t="str">
            <v>Pá coletora de lixo. Material coletor de poliestireno. Com cabo de madeira de 80 cm.</v>
          </cell>
          <cell r="B28" t="str">
            <v>Unidade</v>
          </cell>
          <cell r="C28">
            <v>6</v>
          </cell>
          <cell r="D28">
            <v>7.55</v>
          </cell>
          <cell r="E28">
            <v>7.2</v>
          </cell>
          <cell r="F28">
            <v>7.85</v>
          </cell>
          <cell r="G28">
            <v>3.4</v>
          </cell>
          <cell r="H28">
            <v>22</v>
          </cell>
          <cell r="I28">
            <v>4.25</v>
          </cell>
          <cell r="J28">
            <v>2.5</v>
          </cell>
          <cell r="K28">
            <v>31.36</v>
          </cell>
          <cell r="L28">
            <v>13</v>
          </cell>
          <cell r="M28">
            <v>2.25</v>
          </cell>
          <cell r="N28">
            <v>7.55</v>
          </cell>
          <cell r="O28">
            <v>7.55</v>
          </cell>
          <cell r="P28">
            <v>9.90090909090909</v>
          </cell>
          <cell r="Q28">
            <v>7.5375000000000005</v>
          </cell>
        </row>
        <row r="29">
          <cell r="A29" t="str">
            <v>Pincel chato, nº 16 para limpeza de teclado</v>
          </cell>
          <cell r="B29" t="str">
            <v>Unidade</v>
          </cell>
          <cell r="C29">
            <v>6</v>
          </cell>
          <cell r="D29">
            <v>2.65</v>
          </cell>
          <cell r="E29">
            <v>2.65</v>
          </cell>
          <cell r="F29">
            <v>2.65</v>
          </cell>
          <cell r="G29">
            <v>2.65</v>
          </cell>
        </row>
        <row r="30">
          <cell r="A30" t="str">
            <v>Placas sinalizadoras "Piso Molhado"</v>
          </cell>
          <cell r="B30" t="str">
            <v>Unidade</v>
          </cell>
          <cell r="C30">
            <v>24</v>
          </cell>
          <cell r="D30">
            <v>48.95</v>
          </cell>
          <cell r="E30">
            <v>35</v>
          </cell>
          <cell r="F30">
            <v>33</v>
          </cell>
          <cell r="G30">
            <v>28.53</v>
          </cell>
          <cell r="H30">
            <v>15</v>
          </cell>
          <cell r="I30">
            <v>28</v>
          </cell>
          <cell r="J30">
            <v>29.9</v>
          </cell>
          <cell r="K30">
            <v>32.79</v>
          </cell>
          <cell r="L30">
            <v>31.345</v>
          </cell>
          <cell r="M30">
            <v>31.396250000000002</v>
          </cell>
          <cell r="N30">
            <v>31.203333333333333</v>
          </cell>
        </row>
        <row r="31">
          <cell r="A31" t="str">
            <v>Suporte com velcro para enceradeira sem flange (semestral)</v>
          </cell>
          <cell r="B31" t="str">
            <v>Unidade</v>
          </cell>
          <cell r="C31">
            <v>6</v>
          </cell>
          <cell r="D31">
            <v>49.9</v>
          </cell>
          <cell r="E31">
            <v>36.72</v>
          </cell>
          <cell r="F31">
            <v>47.99</v>
          </cell>
          <cell r="G31">
            <v>47.99</v>
          </cell>
          <cell r="H31">
            <v>44.870000000000005</v>
          </cell>
          <cell r="I31">
            <v>44.870000000000005</v>
          </cell>
        </row>
        <row r="32">
          <cell r="A32" t="str">
            <v>Rodo específico para limpeza de vidros</v>
          </cell>
          <cell r="B32" t="str">
            <v>Unidade medindo no mínimo 40cm</v>
          </cell>
          <cell r="C32">
            <v>12</v>
          </cell>
          <cell r="D32">
            <v>5.33</v>
          </cell>
          <cell r="E32">
            <v>80</v>
          </cell>
          <cell r="F32">
            <v>18.62</v>
          </cell>
          <cell r="G32">
            <v>18.62</v>
          </cell>
          <cell r="H32">
            <v>34.65</v>
          </cell>
          <cell r="I32">
            <v>18.62</v>
          </cell>
        </row>
        <row r="33">
          <cell r="A33" t="str">
            <v>Rodo com 2 borrachas - 40cm de largura, com cabo</v>
          </cell>
          <cell r="B33" t="str">
            <v>Unidade</v>
          </cell>
          <cell r="C33">
            <v>2</v>
          </cell>
          <cell r="D33">
            <v>17.8</v>
          </cell>
          <cell r="E33">
            <v>9.8</v>
          </cell>
          <cell r="F33">
            <v>3</v>
          </cell>
          <cell r="G33">
            <v>12</v>
          </cell>
          <cell r="H33">
            <v>7.89</v>
          </cell>
          <cell r="I33">
            <v>2.5</v>
          </cell>
          <cell r="J33">
            <v>6</v>
          </cell>
          <cell r="K33">
            <v>6.77</v>
          </cell>
          <cell r="L33">
            <v>4.51</v>
          </cell>
          <cell r="M33">
            <v>5.04</v>
          </cell>
          <cell r="N33">
            <v>17.8</v>
          </cell>
          <cell r="O33">
            <v>6.77</v>
          </cell>
          <cell r="P33">
            <v>8.464545454545457</v>
          </cell>
          <cell r="Q33">
            <v>6.425</v>
          </cell>
        </row>
        <row r="34">
          <cell r="A34" t="str">
            <v>Vassoura para limpeza de teto</v>
          </cell>
          <cell r="B34" t="str">
            <v>Unidade</v>
          </cell>
          <cell r="C34">
            <v>6</v>
          </cell>
          <cell r="D34">
            <v>10.8</v>
          </cell>
          <cell r="E34">
            <v>15.22</v>
          </cell>
          <cell r="F34">
            <v>13.2</v>
          </cell>
          <cell r="G34">
            <v>6.89</v>
          </cell>
          <cell r="H34">
            <v>4.8</v>
          </cell>
          <cell r="I34">
            <v>6</v>
          </cell>
          <cell r="J34">
            <v>11.07</v>
          </cell>
          <cell r="K34">
            <v>17.65</v>
          </cell>
          <cell r="L34">
            <v>10.935</v>
          </cell>
          <cell r="M34">
            <v>10.70375</v>
          </cell>
          <cell r="N34">
            <v>11.69</v>
          </cell>
        </row>
        <row r="35">
          <cell r="A35" t="str">
            <v>Vassoura Nylon</v>
          </cell>
          <cell r="B35" t="str">
            <v>Unidade</v>
          </cell>
          <cell r="C35">
            <v>4</v>
          </cell>
          <cell r="D35">
            <v>10.27</v>
          </cell>
          <cell r="E35">
            <v>3.73</v>
          </cell>
          <cell r="F35">
            <v>6</v>
          </cell>
          <cell r="G35">
            <v>3.79</v>
          </cell>
          <cell r="H35">
            <v>4.895</v>
          </cell>
          <cell r="I35">
            <v>5.9475</v>
          </cell>
          <cell r="J35">
            <v>4.506666666666667</v>
          </cell>
        </row>
        <row r="36">
          <cell r="A36" t="str">
            <v>Vassoura Sanitária</v>
          </cell>
          <cell r="B36" t="str">
            <v>Unidade</v>
          </cell>
          <cell r="C36">
            <v>4</v>
          </cell>
          <cell r="D36">
            <v>3.6</v>
          </cell>
          <cell r="E36">
            <v>10</v>
          </cell>
          <cell r="F36">
            <v>3</v>
          </cell>
          <cell r="G36">
            <v>4.44</v>
          </cell>
          <cell r="H36">
            <v>1.89</v>
          </cell>
          <cell r="I36">
            <v>1.5</v>
          </cell>
          <cell r="J36">
            <v>2</v>
          </cell>
          <cell r="K36">
            <v>3.5</v>
          </cell>
          <cell r="L36">
            <v>3.13</v>
          </cell>
          <cell r="M36">
            <v>6.6</v>
          </cell>
          <cell r="N36">
            <v>3.28</v>
          </cell>
          <cell r="O36">
            <v>3.28</v>
          </cell>
          <cell r="P36">
            <v>3.9036363636363642</v>
          </cell>
          <cell r="Q36">
            <v>3.3020000000000005</v>
          </cell>
        </row>
        <row r="37">
          <cell r="A37" t="str">
            <v>Vassoura de pelo com 40cm de largura, com cabo</v>
          </cell>
          <cell r="B37" t="str">
            <v>Unidade</v>
          </cell>
          <cell r="C37">
            <v>3</v>
          </cell>
          <cell r="D37">
            <v>6.2</v>
          </cell>
          <cell r="E37">
            <v>6.59</v>
          </cell>
          <cell r="F37">
            <v>8.38</v>
          </cell>
          <cell r="G37">
            <v>6.59</v>
          </cell>
          <cell r="H37">
            <v>7.0566666666666675</v>
          </cell>
          <cell r="I37">
            <v>7.0566666666666675</v>
          </cell>
        </row>
        <row r="38">
          <cell r="A38" t="str">
            <v>* Tempo de resposição estimado com base em outros editais da Administração Pública e histórico de contratações anteriores</v>
          </cell>
        </row>
        <row r="39">
          <cell r="A39" t="str">
            <v>MATERIAIS</v>
          </cell>
        </row>
        <row r="40">
          <cell r="A40" t="str">
            <v>ESPECIFICAÇÃO</v>
          </cell>
          <cell r="B40" t="str">
            <v>MARCA DE REFERÊNCIA</v>
          </cell>
          <cell r="C40" t="str">
            <v>Unidade</v>
          </cell>
          <cell r="D40" t="str">
            <v>*Reposição  a cada quantos MESES?</v>
          </cell>
          <cell r="E40" t="str">
            <v>Preço unitário (1)</v>
          </cell>
          <cell r="F40" t="str">
            <v>Preço unitário (2)</v>
          </cell>
          <cell r="G40" t="str">
            <v>Preço unitário (3)</v>
          </cell>
          <cell r="H40" t="str">
            <v>Preço unitário (4)</v>
          </cell>
          <cell r="I40" t="str">
            <v>Preço unitário (5)</v>
          </cell>
          <cell r="J40" t="str">
            <v>Preço Unitário (6)</v>
          </cell>
          <cell r="K40" t="str">
            <v>Preço Unitário (7)</v>
          </cell>
          <cell r="L40" t="str">
            <v>Preço Unitário (8)</v>
          </cell>
          <cell r="M40" t="str">
            <v>Preço Unitário (9)</v>
          </cell>
          <cell r="N40" t="str">
            <v>Preço Unitário (10)</v>
          </cell>
          <cell r="O40" t="str">
            <v>Preço Unitário (11)</v>
          </cell>
          <cell r="P40" t="str">
            <v>Preço Unitário (12)</v>
          </cell>
          <cell r="Q40" t="str">
            <v>Preço Unitário (13)</v>
          </cell>
          <cell r="R40" t="str">
            <v>Preço Unitário (14)</v>
          </cell>
          <cell r="S40" t="str">
            <v>Preço Unitário (15)</v>
          </cell>
          <cell r="T40" t="str">
            <v>Preço Unitário (16)</v>
          </cell>
          <cell r="U40" t="str">
            <v>Preço Unitário (17)</v>
          </cell>
          <cell r="V40" t="str">
            <v>Preço Unitário (18)</v>
          </cell>
          <cell r="W40" t="str">
            <v>Preço Unitário (19)</v>
          </cell>
          <cell r="X40" t="str">
            <v>Preço Unitário (20)</v>
          </cell>
          <cell r="Y40" t="str">
            <v>Preço Unitário (21)</v>
          </cell>
          <cell r="Z40" t="str">
            <v>Preço Unitário (22)</v>
          </cell>
          <cell r="AA40" t="str">
            <v>Preço Unitário (23)</v>
          </cell>
          <cell r="AB40" t="str">
            <v>Preço Unitário (24)</v>
          </cell>
          <cell r="AC40" t="str">
            <v>Preço Unitário (25)</v>
          </cell>
          <cell r="AD40" t="str">
            <v>Preço Unitário (26)</v>
          </cell>
          <cell r="AE40" t="str">
            <v>Preço Unitário (27)</v>
          </cell>
          <cell r="AF40" t="str">
            <v>Preço Unitário (28)</v>
          </cell>
          <cell r="AG40" t="str">
            <v>Preço Unitário (29)</v>
          </cell>
          <cell r="AH40" t="str">
            <v>Preço Unitário (30)</v>
          </cell>
          <cell r="AI40" t="str">
            <v>Preço Unitário (31)</v>
          </cell>
          <cell r="AJ40" t="str">
            <v>Preço Unitário (32)</v>
          </cell>
          <cell r="AK40" t="str">
            <v>Preço Unitário (33)</v>
          </cell>
          <cell r="AL40" t="str">
            <v>Preço Unitário (34)</v>
          </cell>
          <cell r="AM40" t="str">
            <v>Preço Unitário (35)</v>
          </cell>
          <cell r="AN40" t="str">
            <v>Preço Unitário (36)</v>
          </cell>
          <cell r="AO40" t="str">
            <v>Preço Unitário (37)</v>
          </cell>
          <cell r="AP40" t="str">
            <v>Preço Unitário (38)</v>
          </cell>
          <cell r="AQ40" t="str">
            <v>Preço Unitário (39)</v>
          </cell>
          <cell r="AR40" t="str">
            <v>Preço mediano</v>
          </cell>
          <cell r="AS40" t="str">
            <v>Preço unitário (médio)</v>
          </cell>
          <cell r="AT40" t="str">
            <v>Preço unitário médio 30% variação</v>
          </cell>
        </row>
        <row r="41">
          <cell r="A41" t="str">
            <v>Água sanitária  de 1ª qualidade</v>
          </cell>
          <cell r="B41" t="str">
            <v>BRILHANTE/YPE/CÂNDIDA ou superior</v>
          </cell>
          <cell r="C41" t="str">
            <v>Galão com 5 litros</v>
          </cell>
          <cell r="D41">
            <v>1</v>
          </cell>
          <cell r="E41">
            <v>11.32</v>
          </cell>
          <cell r="F41">
            <v>6.4</v>
          </cell>
          <cell r="G41">
            <v>15.6</v>
          </cell>
          <cell r="H41">
            <v>4.5</v>
          </cell>
          <cell r="I41">
            <v>6</v>
          </cell>
          <cell r="J41">
            <v>7.5</v>
          </cell>
          <cell r="K41">
            <v>3.25</v>
          </cell>
          <cell r="L41">
            <v>7.5</v>
          </cell>
          <cell r="M41">
            <v>6.95</v>
          </cell>
          <cell r="N41">
            <v>6.85</v>
          </cell>
          <cell r="O41">
            <v>6.9</v>
          </cell>
          <cell r="P41">
            <v>7.586999999999999</v>
          </cell>
          <cell r="Q41">
            <v>6.866666666666667</v>
          </cell>
        </row>
        <row r="42">
          <cell r="A42" t="str">
            <v>Álcool sem perfume</v>
          </cell>
          <cell r="B42" t="str">
            <v>1 litro</v>
          </cell>
          <cell r="C42">
            <v>1</v>
          </cell>
          <cell r="D42">
            <v>4.66</v>
          </cell>
          <cell r="E42">
            <v>4.8</v>
          </cell>
          <cell r="F42">
            <v>7.73</v>
          </cell>
          <cell r="G42">
            <v>5</v>
          </cell>
          <cell r="H42">
            <v>4.36</v>
          </cell>
          <cell r="I42">
            <v>10</v>
          </cell>
          <cell r="J42">
            <v>9.64</v>
          </cell>
          <cell r="K42">
            <v>2.78</v>
          </cell>
          <cell r="L42">
            <v>4.9</v>
          </cell>
          <cell r="M42">
            <v>6.12125</v>
          </cell>
          <cell r="N42">
            <v>4.705</v>
          </cell>
        </row>
        <row r="43">
          <cell r="A43" t="str">
            <v>Álcool líquido 70% e/ou 90%</v>
          </cell>
          <cell r="B43" t="str">
            <v>Itajá</v>
          </cell>
          <cell r="C43" t="str">
            <v>1 litro</v>
          </cell>
          <cell r="D43">
            <v>1</v>
          </cell>
          <cell r="E43">
            <v>4.44</v>
          </cell>
          <cell r="F43">
            <v>13</v>
          </cell>
          <cell r="G43">
            <v>3.45</v>
          </cell>
          <cell r="H43">
            <v>5</v>
          </cell>
          <cell r="I43">
            <v>2.79</v>
          </cell>
          <cell r="J43">
            <v>2.85</v>
          </cell>
          <cell r="K43">
            <v>6</v>
          </cell>
          <cell r="L43">
            <v>5.65</v>
          </cell>
          <cell r="M43">
            <v>2.99</v>
          </cell>
          <cell r="N43">
            <v>4.44</v>
          </cell>
          <cell r="O43">
            <v>5.13</v>
          </cell>
          <cell r="P43">
            <v>4.635</v>
          </cell>
        </row>
        <row r="44">
          <cell r="A44" t="str">
            <v>Cera Líquida Branca</v>
          </cell>
          <cell r="B44" t="str">
            <v>YPE/D+ ou superior</v>
          </cell>
          <cell r="C44" t="str">
            <v>galão 5 litros</v>
          </cell>
          <cell r="D44">
            <v>1</v>
          </cell>
          <cell r="E44">
            <v>15.5</v>
          </cell>
          <cell r="F44">
            <v>13.27</v>
          </cell>
          <cell r="G44">
            <v>11.25</v>
          </cell>
          <cell r="H44">
            <v>19</v>
          </cell>
          <cell r="I44">
            <v>8</v>
          </cell>
          <cell r="J44">
            <v>13.27</v>
          </cell>
          <cell r="K44">
            <v>13.404</v>
          </cell>
          <cell r="L44">
            <v>13.339999999999998</v>
          </cell>
        </row>
        <row r="45">
          <cell r="A45" t="str">
            <v>Desengraxante para pisos</v>
          </cell>
          <cell r="B45" t="str">
            <v>INGLEZA ou superior</v>
          </cell>
          <cell r="C45" t="str">
            <v>Galão com 5 litros</v>
          </cell>
          <cell r="D45">
            <v>1</v>
          </cell>
          <cell r="E45">
            <v>22.5</v>
          </cell>
          <cell r="F45">
            <v>16.5</v>
          </cell>
          <cell r="G45">
            <v>18.62</v>
          </cell>
          <cell r="H45">
            <v>18.62</v>
          </cell>
          <cell r="I45">
            <v>19.206666666666667</v>
          </cell>
          <cell r="J45">
            <v>19.206666666666667</v>
          </cell>
        </row>
        <row r="46">
          <cell r="A46" t="str">
            <v>Desinfetante de uso geral </v>
          </cell>
          <cell r="B46" t="str">
            <v>Valência</v>
          </cell>
          <cell r="C46" t="str">
            <v>galão 5 litros</v>
          </cell>
          <cell r="D46">
            <v>1</v>
          </cell>
          <cell r="E46">
            <v>8.93</v>
          </cell>
          <cell r="F46">
            <v>7.5</v>
          </cell>
          <cell r="G46">
            <v>11.16</v>
          </cell>
          <cell r="H46">
            <v>6.5</v>
          </cell>
          <cell r="I46">
            <v>12</v>
          </cell>
          <cell r="J46">
            <v>4.89</v>
          </cell>
          <cell r="K46">
            <v>7.5</v>
          </cell>
          <cell r="L46">
            <v>10</v>
          </cell>
          <cell r="M46">
            <v>11.65</v>
          </cell>
          <cell r="N46">
            <v>5.47</v>
          </cell>
          <cell r="O46">
            <v>8.215</v>
          </cell>
          <cell r="P46">
            <v>8.56</v>
          </cell>
          <cell r="Q46">
            <v>8.086</v>
          </cell>
        </row>
        <row r="47">
          <cell r="A47" t="str">
            <v>Desodorizador de ambiente, fragrância lavanda ou similar</v>
          </cell>
          <cell r="B47" t="str">
            <v>unidade</v>
          </cell>
          <cell r="C47">
            <v>1</v>
          </cell>
          <cell r="D47">
            <v>6.4</v>
          </cell>
          <cell r="E47">
            <v>3.9</v>
          </cell>
          <cell r="F47">
            <v>9.04</v>
          </cell>
          <cell r="G47">
            <v>4.99</v>
          </cell>
          <cell r="H47">
            <v>3.8</v>
          </cell>
          <cell r="I47">
            <v>6.9</v>
          </cell>
          <cell r="J47">
            <v>6.7</v>
          </cell>
          <cell r="K47">
            <v>6.4</v>
          </cell>
          <cell r="L47">
            <v>5.961428571428572</v>
          </cell>
          <cell r="M47">
            <v>6.2475</v>
          </cell>
        </row>
        <row r="48">
          <cell r="A48" t="str">
            <v>Detergente</v>
          </cell>
          <cell r="B48" t="str">
            <v>galão 5 litros</v>
          </cell>
          <cell r="C48">
            <v>1</v>
          </cell>
          <cell r="D48">
            <v>20</v>
          </cell>
          <cell r="E48">
            <v>11.16</v>
          </cell>
          <cell r="F48">
            <v>10.5</v>
          </cell>
          <cell r="G48">
            <v>5</v>
          </cell>
          <cell r="H48">
            <v>10</v>
          </cell>
          <cell r="I48">
            <v>17.5</v>
          </cell>
          <cell r="J48">
            <v>12.5</v>
          </cell>
          <cell r="K48">
            <v>8</v>
          </cell>
          <cell r="L48">
            <v>10.83</v>
          </cell>
          <cell r="M48">
            <v>11.8325</v>
          </cell>
          <cell r="N48">
            <v>10.431999999999999</v>
          </cell>
        </row>
        <row r="49">
          <cell r="A49" t="str">
            <v>Disco BR 350mm Limpador (verde)</v>
          </cell>
          <cell r="B49" t="str">
            <v>BETTANIN/BRITISH ou superior</v>
          </cell>
          <cell r="C49" t="str">
            <v>Unidade</v>
          </cell>
          <cell r="D49">
            <v>1</v>
          </cell>
          <cell r="E49">
            <v>17.1</v>
          </cell>
          <cell r="F49">
            <v>19.9</v>
          </cell>
          <cell r="G49">
            <v>22.77</v>
          </cell>
          <cell r="H49">
            <v>16.24</v>
          </cell>
          <cell r="I49">
            <v>18.5</v>
          </cell>
          <cell r="J49">
            <v>19.002499999999998</v>
          </cell>
          <cell r="K49">
            <v>19.002499999999998</v>
          </cell>
        </row>
        <row r="50">
          <cell r="A50" t="str">
            <v>Disco BR 350mm Limpador (preto)</v>
          </cell>
          <cell r="B50" t="str">
            <v>BETTANIN/BRITISH ou superior</v>
          </cell>
          <cell r="C50" t="str">
            <v>Unidade</v>
          </cell>
          <cell r="D50">
            <v>1</v>
          </cell>
          <cell r="E50">
            <v>15.39</v>
          </cell>
          <cell r="F50">
            <v>13.64</v>
          </cell>
          <cell r="G50">
            <v>19.19</v>
          </cell>
          <cell r="H50">
            <v>15.39</v>
          </cell>
          <cell r="I50">
            <v>16.073333333333334</v>
          </cell>
          <cell r="J50">
            <v>16.073333333333334</v>
          </cell>
        </row>
        <row r="51">
          <cell r="A51" t="str">
            <v>Escova de mão</v>
          </cell>
          <cell r="B51" t="str">
            <v>CONDOR/BETTANIN/SANTA MARIA ou superior</v>
          </cell>
          <cell r="C51" t="str">
            <v>Unidade</v>
          </cell>
          <cell r="D51">
            <v>1</v>
          </cell>
          <cell r="E51">
            <v>2.7</v>
          </cell>
          <cell r="F51">
            <v>2.15</v>
          </cell>
          <cell r="G51">
            <v>4.29</v>
          </cell>
          <cell r="H51">
            <v>0.9</v>
          </cell>
          <cell r="I51">
            <v>2.5</v>
          </cell>
          <cell r="J51">
            <v>10.81</v>
          </cell>
          <cell r="K51">
            <v>2.8</v>
          </cell>
          <cell r="L51">
            <v>1.7</v>
          </cell>
          <cell r="M51">
            <v>2.6</v>
          </cell>
          <cell r="N51">
            <v>3.48125</v>
          </cell>
          <cell r="O51">
            <v>2.5374999999999996</v>
          </cell>
        </row>
        <row r="52">
          <cell r="A52" t="str">
            <v>Espanador Sintético longo</v>
          </cell>
          <cell r="B52" t="str">
            <v>Unidade</v>
          </cell>
          <cell r="C52">
            <v>11.82</v>
          </cell>
          <cell r="D52">
            <v>9.8</v>
          </cell>
          <cell r="E52">
            <v>7.56</v>
          </cell>
          <cell r="F52">
            <v>7.89</v>
          </cell>
          <cell r="G52">
            <v>2.3</v>
          </cell>
          <cell r="H52">
            <v>7.89</v>
          </cell>
          <cell r="I52">
            <v>7.874</v>
          </cell>
          <cell r="J52">
            <v>8.416666666666666</v>
          </cell>
        </row>
        <row r="53">
          <cell r="A53" t="str">
            <v>Esponja de fibra com dupla face (verde e amarelo)</v>
          </cell>
          <cell r="B53" t="str">
            <v>BomBril, Assolan, 3M scotch brite ou superior</v>
          </cell>
          <cell r="C53" t="str">
            <v>Unidade</v>
          </cell>
          <cell r="D53">
            <v>1</v>
          </cell>
          <cell r="E53">
            <v>0.51</v>
          </cell>
          <cell r="F53">
            <v>1.75</v>
          </cell>
          <cell r="G53">
            <v>1.25</v>
          </cell>
          <cell r="H53">
            <v>0.49</v>
          </cell>
          <cell r="I53">
            <v>0.55</v>
          </cell>
          <cell r="J53">
            <v>0.99</v>
          </cell>
          <cell r="K53">
            <v>0.35</v>
          </cell>
          <cell r="L53">
            <v>0.5</v>
          </cell>
          <cell r="M53">
            <v>0.33</v>
          </cell>
          <cell r="N53">
            <v>0.38</v>
          </cell>
          <cell r="O53">
            <v>0.55</v>
          </cell>
          <cell r="P53">
            <v>0.51</v>
          </cell>
          <cell r="Q53">
            <v>0.6954545454545454</v>
          </cell>
          <cell r="R53">
            <v>0.4966666666666666</v>
          </cell>
        </row>
        <row r="54">
          <cell r="A54" t="str">
            <v>Flanela branca de 1ª qualidade, medindo 40x60cm</v>
          </cell>
          <cell r="B54" t="str">
            <v>GENÉRICO</v>
          </cell>
          <cell r="C54" t="str">
            <v>Unidade</v>
          </cell>
          <cell r="D54">
            <v>1</v>
          </cell>
          <cell r="E54">
            <v>1.15</v>
          </cell>
          <cell r="F54">
            <v>2.35</v>
          </cell>
          <cell r="G54">
            <v>1.42</v>
          </cell>
          <cell r="H54">
            <v>1.8</v>
          </cell>
          <cell r="I54">
            <v>1.5</v>
          </cell>
          <cell r="J54">
            <v>0.75</v>
          </cell>
          <cell r="K54">
            <v>0.65</v>
          </cell>
          <cell r="L54">
            <v>1.5</v>
          </cell>
          <cell r="M54">
            <v>1.1</v>
          </cell>
          <cell r="N54">
            <v>1.43</v>
          </cell>
          <cell r="O54">
            <v>1.4249999999999998</v>
          </cell>
          <cell r="P54">
            <v>1.3649999999999998</v>
          </cell>
          <cell r="Q54">
            <v>1.4142857142857144</v>
          </cell>
        </row>
        <row r="55">
          <cell r="A55" t="str">
            <v>Refil fibra LT do kit conjunto limpeza pesada</v>
          </cell>
          <cell r="B55" t="str">
            <v>Unidade</v>
          </cell>
          <cell r="C55">
            <v>1</v>
          </cell>
          <cell r="D55">
            <v>18.5</v>
          </cell>
          <cell r="E55">
            <v>0.94</v>
          </cell>
          <cell r="F55">
            <v>1.2</v>
          </cell>
          <cell r="G55">
            <v>1.47</v>
          </cell>
          <cell r="H55">
            <v>1.335</v>
          </cell>
          <cell r="I55">
            <v>5.5275</v>
          </cell>
          <cell r="J55">
            <v>1.2033333333333331</v>
          </cell>
        </row>
        <row r="56">
          <cell r="A56" t="str">
            <v>Lã de aço</v>
          </cell>
          <cell r="B56" t="str">
            <v>pacote</v>
          </cell>
          <cell r="C56">
            <v>1</v>
          </cell>
          <cell r="D56">
            <v>0.81</v>
          </cell>
          <cell r="E56">
            <v>2.2</v>
          </cell>
          <cell r="F56">
            <v>2.71</v>
          </cell>
          <cell r="G56">
            <v>0.86</v>
          </cell>
          <cell r="H56">
            <v>0.6</v>
          </cell>
          <cell r="I56">
            <v>1.09</v>
          </cell>
          <cell r="J56">
            <v>0.9750000000000001</v>
          </cell>
          <cell r="K56">
            <v>1.3783333333333336</v>
          </cell>
          <cell r="L56">
            <v>0.9199999999999999</v>
          </cell>
        </row>
        <row r="57">
          <cell r="A57" t="str">
            <v>Limpa Carpetes</v>
          </cell>
          <cell r="B57" t="str">
            <v>galão 5 litros</v>
          </cell>
          <cell r="C57">
            <v>1</v>
          </cell>
          <cell r="D57">
            <v>43.4</v>
          </cell>
          <cell r="E57">
            <v>43.4</v>
          </cell>
          <cell r="F57">
            <v>43.4</v>
          </cell>
          <cell r="G57">
            <v>43.4</v>
          </cell>
        </row>
        <row r="58">
          <cell r="A58" t="str">
            <v>Limpa cerâmica e azulejos</v>
          </cell>
          <cell r="B58" t="str">
            <v>Azulim</v>
          </cell>
          <cell r="C58" t="str">
            <v>1 litro</v>
          </cell>
          <cell r="D58">
            <v>1</v>
          </cell>
          <cell r="E58">
            <v>12.8</v>
          </cell>
          <cell r="F58">
            <v>4.97</v>
          </cell>
          <cell r="G58">
            <v>5.59</v>
          </cell>
          <cell r="H58">
            <v>4.97</v>
          </cell>
          <cell r="I58">
            <v>5.279999999999999</v>
          </cell>
          <cell r="J58">
            <v>7.0825</v>
          </cell>
          <cell r="K58">
            <v>5.176666666666666</v>
          </cell>
        </row>
        <row r="59">
          <cell r="A59" t="str">
            <v>Limpa pedra</v>
          </cell>
          <cell r="B59" t="str">
            <v>Pedrex/Start</v>
          </cell>
          <cell r="C59" t="str">
            <v>1 litro</v>
          </cell>
          <cell r="D59">
            <v>1</v>
          </cell>
          <cell r="E59">
            <v>1.23</v>
          </cell>
          <cell r="F59">
            <v>14.25</v>
          </cell>
          <cell r="G59">
            <v>13.19</v>
          </cell>
          <cell r="H59">
            <v>11.3</v>
          </cell>
          <cell r="I59">
            <v>12.245000000000001</v>
          </cell>
          <cell r="J59">
            <v>9.9925</v>
          </cell>
          <cell r="K59">
            <v>12.913333333333332</v>
          </cell>
        </row>
        <row r="60">
          <cell r="A60" t="str">
            <v>Limpa Vidros</v>
          </cell>
          <cell r="B60" t="str">
            <v>galão 5 litros</v>
          </cell>
          <cell r="C60">
            <v>1</v>
          </cell>
          <cell r="D60">
            <v>32.5</v>
          </cell>
          <cell r="E60">
            <v>17</v>
          </cell>
          <cell r="F60">
            <v>8.25</v>
          </cell>
          <cell r="G60">
            <v>7.5</v>
          </cell>
          <cell r="H60">
            <v>12.5</v>
          </cell>
          <cell r="I60">
            <v>17</v>
          </cell>
          <cell r="J60">
            <v>14.75</v>
          </cell>
          <cell r="K60">
            <v>15.791666666666666</v>
          </cell>
          <cell r="L60">
            <v>15.5</v>
          </cell>
        </row>
        <row r="61">
          <cell r="A61" t="str">
            <v>Limpador de inox</v>
          </cell>
          <cell r="B61" t="str">
            <v>Scoth Brite</v>
          </cell>
          <cell r="C61" t="str">
            <v>1 litro</v>
          </cell>
          <cell r="D61">
            <v>1</v>
          </cell>
          <cell r="E61">
            <v>104.37</v>
          </cell>
          <cell r="F61">
            <v>23.48</v>
          </cell>
          <cell r="G61">
            <v>22.36</v>
          </cell>
          <cell r="H61">
            <v>28.04</v>
          </cell>
          <cell r="I61">
            <v>25.759999999999998</v>
          </cell>
          <cell r="J61">
            <v>44.5625</v>
          </cell>
          <cell r="K61">
            <v>24.626666666666665</v>
          </cell>
        </row>
        <row r="62">
          <cell r="A62" t="str">
            <v>Limpador multiuso</v>
          </cell>
          <cell r="B62" t="str">
            <v>galão 5 litros</v>
          </cell>
          <cell r="C62">
            <v>1</v>
          </cell>
          <cell r="D62">
            <v>8.67</v>
          </cell>
          <cell r="E62">
            <v>28.5</v>
          </cell>
          <cell r="F62">
            <v>15.4</v>
          </cell>
          <cell r="G62">
            <v>39</v>
          </cell>
          <cell r="H62">
            <v>17.1</v>
          </cell>
          <cell r="I62">
            <v>17.5</v>
          </cell>
          <cell r="J62">
            <v>15</v>
          </cell>
          <cell r="K62">
            <v>10.2</v>
          </cell>
          <cell r="L62">
            <v>21.5</v>
          </cell>
          <cell r="M62">
            <v>17.1</v>
          </cell>
          <cell r="N62">
            <v>19.207777777777775</v>
          </cell>
          <cell r="O62">
            <v>17.3</v>
          </cell>
        </row>
        <row r="63">
          <cell r="A63" t="str">
            <v>Lustra Móveis lavanda</v>
          </cell>
          <cell r="B63" t="str">
            <v>DESTAC/POLIFLOR/BRAVO ou superior</v>
          </cell>
          <cell r="C63" t="str">
            <v>Unidade com 200 ml</v>
          </cell>
          <cell r="D63">
            <v>1</v>
          </cell>
          <cell r="E63">
            <v>1.82</v>
          </cell>
          <cell r="F63">
            <v>3.15</v>
          </cell>
          <cell r="G63">
            <v>2.3</v>
          </cell>
          <cell r="H63">
            <v>3.5</v>
          </cell>
          <cell r="I63">
            <v>1.89</v>
          </cell>
          <cell r="J63">
            <v>1.2</v>
          </cell>
          <cell r="K63">
            <v>2</v>
          </cell>
          <cell r="L63">
            <v>2.4</v>
          </cell>
          <cell r="M63">
            <v>2.15</v>
          </cell>
          <cell r="N63">
            <v>2.2824999999999998</v>
          </cell>
          <cell r="O63">
            <v>2.082</v>
          </cell>
        </row>
        <row r="64">
          <cell r="A64" t="str">
            <v>Luva látex forrada</v>
          </cell>
          <cell r="B64" t="str">
            <v>SANRO/CONFORT/SCOTCH BRITE ou superior</v>
          </cell>
          <cell r="C64" t="str">
            <v>Par</v>
          </cell>
          <cell r="D64">
            <v>1</v>
          </cell>
          <cell r="E64">
            <v>7.8</v>
          </cell>
          <cell r="F64">
            <v>3.43</v>
          </cell>
          <cell r="G64">
            <v>3</v>
          </cell>
          <cell r="H64">
            <v>8.6</v>
          </cell>
          <cell r="I64">
            <v>1.53</v>
          </cell>
          <cell r="J64">
            <v>1.75</v>
          </cell>
          <cell r="K64">
            <v>2.3</v>
          </cell>
          <cell r="L64">
            <v>2.45</v>
          </cell>
          <cell r="M64">
            <v>2.29</v>
          </cell>
          <cell r="N64">
            <v>2.45</v>
          </cell>
          <cell r="O64">
            <v>3.683333333333333</v>
          </cell>
          <cell r="P64">
            <v>2.3579999999999997</v>
          </cell>
        </row>
        <row r="65">
          <cell r="A65" t="str">
            <v>MOP para pó profissional completo 60 cm cj 60p</v>
          </cell>
          <cell r="B65" t="str">
            <v>unidade</v>
          </cell>
          <cell r="C65">
            <v>1</v>
          </cell>
          <cell r="D65">
            <v>36.5</v>
          </cell>
          <cell r="E65">
            <v>36.5</v>
          </cell>
          <cell r="F65">
            <v>36.5</v>
          </cell>
          <cell r="G65">
            <v>36.5</v>
          </cell>
        </row>
        <row r="66">
          <cell r="A66" t="str">
            <v>Refil MOP pó 400g 60 x15 profissional rp 600</v>
          </cell>
          <cell r="B66" t="str">
            <v>unidade</v>
          </cell>
          <cell r="C66">
            <v>1</v>
          </cell>
          <cell r="D66">
            <v>12.19</v>
          </cell>
          <cell r="E66">
            <v>28</v>
          </cell>
          <cell r="F66">
            <v>29.61</v>
          </cell>
          <cell r="G66">
            <v>27.23</v>
          </cell>
          <cell r="H66">
            <v>32.61</v>
          </cell>
          <cell r="I66">
            <v>28</v>
          </cell>
          <cell r="J66">
            <v>25.927999999999997</v>
          </cell>
          <cell r="K66">
            <v>29.3625</v>
          </cell>
        </row>
        <row r="67">
          <cell r="A67" t="str">
            <v>Pano de chão/saco alvejado</v>
          </cell>
          <cell r="B67" t="str">
            <v>unidade</v>
          </cell>
          <cell r="C67">
            <v>1</v>
          </cell>
          <cell r="D67">
            <v>2.32</v>
          </cell>
          <cell r="E67">
            <v>2.05</v>
          </cell>
          <cell r="F67">
            <v>2.36</v>
          </cell>
          <cell r="G67">
            <v>2.5</v>
          </cell>
          <cell r="H67">
            <v>1.9</v>
          </cell>
          <cell r="I67">
            <v>1.25</v>
          </cell>
          <cell r="J67">
            <v>1</v>
          </cell>
          <cell r="K67">
            <v>1.2</v>
          </cell>
          <cell r="L67">
            <v>1.14</v>
          </cell>
          <cell r="M67">
            <v>2.3</v>
          </cell>
          <cell r="N67">
            <v>2.55</v>
          </cell>
          <cell r="O67">
            <v>2.05</v>
          </cell>
          <cell r="P67">
            <v>1.87</v>
          </cell>
          <cell r="Q67">
            <v>2.282857142857143</v>
          </cell>
        </row>
        <row r="68">
          <cell r="A68" t="str">
            <v>Pasta para limpeza a seco</v>
          </cell>
          <cell r="B68" t="str">
            <v>Limptek</v>
          </cell>
          <cell r="C68" t="str">
            <v>unidade 500g</v>
          </cell>
          <cell r="D68">
            <v>1</v>
          </cell>
          <cell r="E68">
            <v>4.25</v>
          </cell>
          <cell r="F68">
            <v>4.26</v>
          </cell>
          <cell r="G68">
            <v>4.255</v>
          </cell>
          <cell r="H68">
            <v>4.255</v>
          </cell>
          <cell r="I68">
            <v>4.255</v>
          </cell>
        </row>
        <row r="69">
          <cell r="A69" t="str">
            <v>Removedor  para Piso </v>
          </cell>
          <cell r="B69" t="str">
            <v>BRILHANTE/YPE/CÂNDIDA ou superior</v>
          </cell>
          <cell r="C69" t="str">
            <v>galão 5 litros</v>
          </cell>
          <cell r="D69">
            <v>6</v>
          </cell>
          <cell r="E69">
            <v>24.37</v>
          </cell>
          <cell r="F69">
            <v>22.5</v>
          </cell>
          <cell r="G69">
            <v>23.95</v>
          </cell>
          <cell r="H69">
            <v>24</v>
          </cell>
          <cell r="I69">
            <v>26.5</v>
          </cell>
          <cell r="J69">
            <v>24</v>
          </cell>
          <cell r="K69">
            <v>24.264000000000003</v>
          </cell>
          <cell r="L69">
            <v>24.264000000000003</v>
          </cell>
        </row>
        <row r="70">
          <cell r="A70" t="str">
            <v>Sabão de coco em barra</v>
          </cell>
          <cell r="B70" t="str">
            <v>pacote com 5 unidades</v>
          </cell>
          <cell r="C70">
            <v>1</v>
          </cell>
          <cell r="D70">
            <v>4.19</v>
          </cell>
          <cell r="E70">
            <v>2.5</v>
          </cell>
          <cell r="F70">
            <v>2.5</v>
          </cell>
          <cell r="G70">
            <v>3.15</v>
          </cell>
          <cell r="H70">
            <v>2.5</v>
          </cell>
          <cell r="I70">
            <v>2.25</v>
          </cell>
          <cell r="J70">
            <v>3.75</v>
          </cell>
          <cell r="K70">
            <v>2.45</v>
          </cell>
          <cell r="L70">
            <v>2.5</v>
          </cell>
          <cell r="M70">
            <v>2.9112500000000003</v>
          </cell>
          <cell r="N70">
            <v>2.5583333333333336</v>
          </cell>
        </row>
        <row r="71">
          <cell r="A71" t="str">
            <v>Sabão em pó</v>
          </cell>
          <cell r="B71" t="str">
            <v>caixa 1 kg</v>
          </cell>
          <cell r="C71">
            <v>1</v>
          </cell>
          <cell r="D71">
            <v>5.6</v>
          </cell>
          <cell r="E71">
            <v>7.48</v>
          </cell>
          <cell r="F71">
            <v>2.2</v>
          </cell>
          <cell r="G71">
            <v>1.75</v>
          </cell>
          <cell r="H71">
            <v>2.3</v>
          </cell>
          <cell r="I71">
            <v>3.32</v>
          </cell>
          <cell r="J71">
            <v>2.3</v>
          </cell>
          <cell r="K71">
            <v>2.3</v>
          </cell>
          <cell r="L71">
            <v>3.5642857142857145</v>
          </cell>
          <cell r="M71">
            <v>2.1375</v>
          </cell>
        </row>
        <row r="72">
          <cell r="A72" t="str">
            <v>Saco para lixo de 100 litros, azul</v>
          </cell>
          <cell r="B72" t="str">
            <v>ZAPACK, ECOMAX REFORÇADO ou superior</v>
          </cell>
          <cell r="C72" t="str">
            <v>Fardo com 100 unidades</v>
          </cell>
          <cell r="D72">
            <v>1</v>
          </cell>
          <cell r="E72">
            <v>30</v>
          </cell>
          <cell r="F72">
            <v>11</v>
          </cell>
          <cell r="G72">
            <v>6.5</v>
          </cell>
          <cell r="H72">
            <v>24</v>
          </cell>
          <cell r="I72">
            <v>15.29</v>
          </cell>
          <cell r="J72">
            <v>15.29</v>
          </cell>
          <cell r="K72">
            <v>17.357999999999997</v>
          </cell>
          <cell r="L72">
            <v>13.145</v>
          </cell>
        </row>
        <row r="73">
          <cell r="A73" t="str">
            <v>Saco para lixo de 100 litros, cor preto</v>
          </cell>
          <cell r="B73" t="str">
            <v>ZAPACK, ECOMAX REFORÇADO ou superior</v>
          </cell>
          <cell r="C73" t="str">
            <v>Fardo com 100 unidades</v>
          </cell>
          <cell r="D73">
            <v>1</v>
          </cell>
          <cell r="E73">
            <v>30</v>
          </cell>
          <cell r="F73">
            <v>24</v>
          </cell>
          <cell r="G73">
            <v>36.67</v>
          </cell>
          <cell r="H73">
            <v>30</v>
          </cell>
          <cell r="I73">
            <v>30.223333333333333</v>
          </cell>
          <cell r="J73">
            <v>30.223333333333333</v>
          </cell>
        </row>
        <row r="74">
          <cell r="A74" t="str">
            <v>Saco para lixo de 20 litros,  cor preta</v>
          </cell>
          <cell r="B74" t="str">
            <v>ZAPACK, ECOMAX REFORÇADO ou superior</v>
          </cell>
          <cell r="C74" t="str">
            <v>Fardo com 100 unidades</v>
          </cell>
          <cell r="D74">
            <v>1</v>
          </cell>
          <cell r="E74">
            <v>7.45</v>
          </cell>
          <cell r="F74">
            <v>4.51</v>
          </cell>
          <cell r="G74">
            <v>5.98</v>
          </cell>
          <cell r="H74">
            <v>5.98</v>
          </cell>
          <cell r="I74">
            <v>5.98</v>
          </cell>
        </row>
        <row r="75">
          <cell r="A75" t="str">
            <v>Saco para lixo de 40 litros, cor preta</v>
          </cell>
          <cell r="B75" t="str">
            <v>ZAPACK, ECOMAX REFORÇADO ou superior</v>
          </cell>
          <cell r="C75" t="str">
            <v>Fardo com 100 unidades</v>
          </cell>
          <cell r="D75">
            <v>1</v>
          </cell>
          <cell r="E75">
            <v>12.8</v>
          </cell>
          <cell r="F75">
            <v>12.8</v>
          </cell>
          <cell r="G75">
            <v>12.8</v>
          </cell>
          <cell r="H75">
            <v>12.8</v>
          </cell>
        </row>
        <row r="76">
          <cell r="A76" t="str">
            <v>Saco para lixo de 60 litros,  cor preto</v>
          </cell>
          <cell r="B76" t="str">
            <v>ZAPACK, ECOMAX REFORÇADO ou superior</v>
          </cell>
          <cell r="C76" t="str">
            <v>Fardo com 100 unidades</v>
          </cell>
          <cell r="D76">
            <v>1</v>
          </cell>
          <cell r="E76">
            <v>10.8</v>
          </cell>
          <cell r="F76">
            <v>6</v>
          </cell>
          <cell r="G76">
            <v>6</v>
          </cell>
          <cell r="H76">
            <v>27.8</v>
          </cell>
          <cell r="I76">
            <v>8.4</v>
          </cell>
          <cell r="J76">
            <v>12.65</v>
          </cell>
          <cell r="K76">
            <v>7.6000000000000005</v>
          </cell>
        </row>
        <row r="77">
          <cell r="A77" t="str">
            <v>Saponáceo Cremoso</v>
          </cell>
          <cell r="B77" t="str">
            <v>frasco 300 ml</v>
          </cell>
          <cell r="C77">
            <v>1</v>
          </cell>
          <cell r="D77">
            <v>3.2</v>
          </cell>
          <cell r="E77">
            <v>1.99</v>
          </cell>
          <cell r="F77">
            <v>2.56</v>
          </cell>
          <cell r="G77">
            <v>2.56</v>
          </cell>
          <cell r="H77">
            <v>2.5833333333333335</v>
          </cell>
          <cell r="I77">
            <v>2.5833333333333335</v>
          </cell>
        </row>
        <row r="78">
          <cell r="A78" t="str">
            <v>Spray anti-mofo</v>
          </cell>
          <cell r="B78" t="str">
            <v>Sanol</v>
          </cell>
          <cell r="C78" t="str">
            <v>frasco 300 ml</v>
          </cell>
          <cell r="D78">
            <v>1</v>
          </cell>
          <cell r="E78">
            <v>22.5</v>
          </cell>
          <cell r="F78">
            <v>16.98</v>
          </cell>
          <cell r="G78">
            <v>18.5</v>
          </cell>
          <cell r="H78">
            <v>18.5</v>
          </cell>
          <cell r="I78">
            <v>19.326666666666668</v>
          </cell>
          <cell r="J78">
            <v>19.326666666666668</v>
          </cell>
        </row>
        <row r="79">
          <cell r="A79" t="str">
            <v>Vaselina líquida</v>
          </cell>
          <cell r="B79" t="str">
            <v>frasco 1 L</v>
          </cell>
          <cell r="C79">
            <v>1</v>
          </cell>
          <cell r="D79">
            <v>24</v>
          </cell>
          <cell r="E79">
            <v>4</v>
          </cell>
          <cell r="F79">
            <v>26.4</v>
          </cell>
          <cell r="G79">
            <v>24</v>
          </cell>
          <cell r="H79">
            <v>18.133333333333333</v>
          </cell>
          <cell r="I79">
            <v>25.2</v>
          </cell>
        </row>
        <row r="80">
          <cell r="A80" t="str">
            <v>Limpador perfumado base de álcool</v>
          </cell>
          <cell r="B80" t="str">
            <v>galão 5 litros</v>
          </cell>
          <cell r="C80">
            <v>1</v>
          </cell>
          <cell r="D80">
            <v>14</v>
          </cell>
          <cell r="E80">
            <v>13.86</v>
          </cell>
          <cell r="F80">
            <v>18.49</v>
          </cell>
          <cell r="G80">
            <v>26.66</v>
          </cell>
          <cell r="H80">
            <v>16.244999999999997</v>
          </cell>
          <cell r="I80">
            <v>18.252499999999998</v>
          </cell>
          <cell r="J80">
            <v>15.449999999999998</v>
          </cell>
        </row>
        <row r="81">
          <cell r="A81" t="str">
            <v>Cera líquida incolor</v>
          </cell>
          <cell r="B81" t="str">
            <v>YPE/D+ ou superior</v>
          </cell>
          <cell r="C81" t="str">
            <v>galão 5 litros</v>
          </cell>
          <cell r="D81">
            <v>1</v>
          </cell>
          <cell r="E81">
            <v>29.23</v>
          </cell>
          <cell r="F81">
            <v>29.23</v>
          </cell>
          <cell r="G81">
            <v>29.23</v>
          </cell>
          <cell r="H81">
            <v>29.23</v>
          </cell>
        </row>
        <row r="82">
          <cell r="A82" t="str">
            <v>Cera líquida preta</v>
          </cell>
          <cell r="B82" t="str">
            <v>YPE/D+ ou superior</v>
          </cell>
          <cell r="C82" t="str">
            <v>galão 5 litros</v>
          </cell>
          <cell r="D82">
            <v>1</v>
          </cell>
          <cell r="E82">
            <v>22.22</v>
          </cell>
          <cell r="F82">
            <v>22.22</v>
          </cell>
          <cell r="G82">
            <v>22.22</v>
          </cell>
          <cell r="H82">
            <v>22.22</v>
          </cell>
        </row>
        <row r="83">
          <cell r="A83" t="str">
            <v>Óleo de Peroba</v>
          </cell>
          <cell r="B83" t="str">
            <v>200 ml</v>
          </cell>
          <cell r="C83">
            <v>1</v>
          </cell>
          <cell r="D83">
            <v>10.12</v>
          </cell>
          <cell r="E83">
            <v>10.12</v>
          </cell>
          <cell r="F83">
            <v>10.12</v>
          </cell>
          <cell r="G83">
            <v>10.12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ervente de Limpeza Líder"/>
      <sheetName val="Limpador de Vidros"/>
      <sheetName val="Insumos"/>
      <sheetName val="Produtividade IN 05-2017"/>
      <sheetName val="Produtividade x M2"/>
      <sheetName val="Proposta Comercial"/>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ervente de Limpeza Líder"/>
      <sheetName val="Limpador de Vidros"/>
      <sheetName val="Ferramentas"/>
      <sheetName val="Produtividade IN 05-2017"/>
      <sheetName val="Produtividade x M2"/>
      <sheetName val="Proposta Comercial"/>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ervente de Limpeza Líder"/>
      <sheetName val="Limpador de Vidros"/>
      <sheetName val="Equipamentos"/>
      <sheetName val="Produtividade IN 05-2017"/>
      <sheetName val="Produtividade x M2"/>
      <sheetName val="Proposta Comercial"/>
    </sheetNames>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view="pageBreakPreview" zoomScaleNormal="90" zoomScaleSheetLayoutView="100" zoomScalePageLayoutView="0" workbookViewId="0" topLeftCell="A22">
      <selection activeCell="A36" sqref="A1:H36"/>
    </sheetView>
  </sheetViews>
  <sheetFormatPr defaultColWidth="9.140625" defaultRowHeight="15"/>
  <cols>
    <col min="1" max="3" width="9.140625" style="172" customWidth="1"/>
    <col min="4" max="4" width="8.421875" style="172" customWidth="1"/>
    <col min="5" max="5" width="32.421875" style="172" customWidth="1"/>
    <col min="6" max="6" width="35.421875" style="172" customWidth="1"/>
    <col min="7" max="7" width="16.140625" style="172" customWidth="1"/>
    <col min="8" max="8" width="18.140625" style="172" customWidth="1"/>
    <col min="9" max="9" width="21.8515625" style="172" customWidth="1"/>
    <col min="10" max="16384" width="9.140625" style="172" customWidth="1"/>
  </cols>
  <sheetData>
    <row r="1" spans="1:8" ht="15">
      <c r="A1" s="443" t="s">
        <v>688</v>
      </c>
      <c r="B1" s="444"/>
      <c r="C1" s="444"/>
      <c r="D1" s="444"/>
      <c r="E1" s="444"/>
      <c r="F1" s="444"/>
      <c r="G1" s="444"/>
      <c r="H1" s="445"/>
    </row>
    <row r="2" spans="1:8" ht="15">
      <c r="A2" s="443" t="s">
        <v>586</v>
      </c>
      <c r="B2" s="444"/>
      <c r="C2" s="444"/>
      <c r="D2" s="444"/>
      <c r="E2" s="444"/>
      <c r="F2" s="444"/>
      <c r="G2" s="444"/>
      <c r="H2" s="445"/>
    </row>
    <row r="3" spans="1:8" ht="27.75" customHeight="1">
      <c r="A3" s="396" t="s">
        <v>601</v>
      </c>
      <c r="B3" s="396" t="s">
        <v>602</v>
      </c>
      <c r="C3" s="396" t="s">
        <v>603</v>
      </c>
      <c r="D3" s="396" t="s">
        <v>651</v>
      </c>
      <c r="E3" s="446" t="s">
        <v>1165</v>
      </c>
      <c r="F3" s="446"/>
      <c r="G3" s="396" t="s">
        <v>604</v>
      </c>
      <c r="H3" s="206" t="s">
        <v>1152</v>
      </c>
    </row>
    <row r="4" spans="1:8" ht="12.75" customHeight="1">
      <c r="A4" s="427" t="s">
        <v>594</v>
      </c>
      <c r="B4" s="427">
        <v>1627</v>
      </c>
      <c r="C4" s="432">
        <v>1</v>
      </c>
      <c r="D4" s="395" t="s">
        <v>652</v>
      </c>
      <c r="E4" s="439" t="s">
        <v>662</v>
      </c>
      <c r="F4" s="259" t="s">
        <v>595</v>
      </c>
      <c r="G4" s="358">
        <f>'Quadro Resumo 1.1 a 1.3'!E3</f>
        <v>9579.07</v>
      </c>
      <c r="H4" s="358">
        <f>ROUND(G4*30,2)</f>
        <v>287372.1</v>
      </c>
    </row>
    <row r="5" spans="1:8" ht="12.75">
      <c r="A5" s="428"/>
      <c r="B5" s="428"/>
      <c r="C5" s="433"/>
      <c r="D5" s="395" t="s">
        <v>653</v>
      </c>
      <c r="E5" s="440"/>
      <c r="F5" s="401" t="s">
        <v>596</v>
      </c>
      <c r="G5" s="358">
        <f>'Quadro Resumo 1.1 a 1.3'!E4</f>
        <v>15982.02</v>
      </c>
      <c r="H5" s="358">
        <f>ROUND(G5*30,2)</f>
        <v>479460.6</v>
      </c>
    </row>
    <row r="6" spans="1:8" ht="12.75">
      <c r="A6" s="428"/>
      <c r="B6" s="428"/>
      <c r="C6" s="433"/>
      <c r="D6" s="393" t="s">
        <v>1138</v>
      </c>
      <c r="E6" s="440"/>
      <c r="F6" s="401" t="s">
        <v>1149</v>
      </c>
      <c r="G6" s="358">
        <f>'Quadro Resumo 1.1 a 1.3'!E5</f>
        <v>13745.34</v>
      </c>
      <c r="H6" s="358">
        <f>ROUND(G6*30,2)</f>
        <v>412360.2</v>
      </c>
    </row>
    <row r="7" spans="1:9" ht="12.75">
      <c r="A7" s="428"/>
      <c r="B7" s="428"/>
      <c r="C7" s="434"/>
      <c r="D7" s="393" t="s">
        <v>170</v>
      </c>
      <c r="E7" s="441"/>
      <c r="F7" s="435" t="s">
        <v>659</v>
      </c>
      <c r="G7" s="436"/>
      <c r="H7" s="194">
        <f>SUM(H4:H6)</f>
        <v>1179192.9</v>
      </c>
      <c r="I7" s="204"/>
    </row>
    <row r="8" spans="1:8" ht="16.5" customHeight="1">
      <c r="A8" s="428"/>
      <c r="B8" s="428"/>
      <c r="C8" s="432">
        <v>2</v>
      </c>
      <c r="D8" s="395" t="s">
        <v>655</v>
      </c>
      <c r="E8" s="439" t="s">
        <v>1142</v>
      </c>
      <c r="F8" s="401" t="s">
        <v>596</v>
      </c>
      <c r="G8" s="173" t="s">
        <v>170</v>
      </c>
      <c r="H8" s="447">
        <f>'Item 02 - MOB Eventual'!G7</f>
        <v>527588.1</v>
      </c>
    </row>
    <row r="9" spans="1:8" ht="16.5" customHeight="1">
      <c r="A9" s="428"/>
      <c r="B9" s="428"/>
      <c r="C9" s="433"/>
      <c r="D9" s="395" t="s">
        <v>658</v>
      </c>
      <c r="E9" s="440"/>
      <c r="F9" s="411" t="s">
        <v>597</v>
      </c>
      <c r="G9" s="173" t="s">
        <v>170</v>
      </c>
      <c r="H9" s="448"/>
    </row>
    <row r="10" spans="1:8" ht="16.5" customHeight="1">
      <c r="A10" s="428"/>
      <c r="B10" s="428"/>
      <c r="C10" s="433"/>
      <c r="D10" s="395" t="s">
        <v>1139</v>
      </c>
      <c r="E10" s="440"/>
      <c r="F10" s="406" t="s">
        <v>1141</v>
      </c>
      <c r="G10" s="173" t="s">
        <v>170</v>
      </c>
      <c r="H10" s="448"/>
    </row>
    <row r="11" spans="1:8" ht="16.5" customHeight="1">
      <c r="A11" s="428"/>
      <c r="B11" s="428"/>
      <c r="C11" s="433"/>
      <c r="D11" s="395" t="s">
        <v>1140</v>
      </c>
      <c r="E11" s="440"/>
      <c r="F11" s="406" t="s">
        <v>598</v>
      </c>
      <c r="G11" s="173" t="s">
        <v>170</v>
      </c>
      <c r="H11" s="449"/>
    </row>
    <row r="12" spans="1:8" ht="16.5" customHeight="1">
      <c r="A12" s="428"/>
      <c r="B12" s="428"/>
      <c r="C12" s="394"/>
      <c r="D12" s="432" t="s">
        <v>170</v>
      </c>
      <c r="E12" s="440"/>
      <c r="F12" s="195" t="s">
        <v>632</v>
      </c>
      <c r="G12" s="196">
        <f>'Itens 2, 3, 6, 7 e 8 - BDI'!C10</f>
        <v>0.26266436822257533</v>
      </c>
      <c r="H12" s="397">
        <f>ROUND(H8*G12,2)</f>
        <v>138578.59</v>
      </c>
    </row>
    <row r="13" spans="1:8" ht="17.25" customHeight="1">
      <c r="A13" s="428"/>
      <c r="B13" s="428"/>
      <c r="C13" s="394"/>
      <c r="D13" s="434"/>
      <c r="E13" s="441"/>
      <c r="F13" s="435" t="s">
        <v>659</v>
      </c>
      <c r="G13" s="436"/>
      <c r="H13" s="194">
        <f>H8+H12</f>
        <v>666166.69</v>
      </c>
    </row>
    <row r="14" spans="1:9" ht="15" customHeight="1">
      <c r="A14" s="428"/>
      <c r="B14" s="428"/>
      <c r="C14" s="432">
        <v>3</v>
      </c>
      <c r="D14" s="432" t="s">
        <v>656</v>
      </c>
      <c r="E14" s="439" t="s">
        <v>1143</v>
      </c>
      <c r="F14" s="195" t="s">
        <v>660</v>
      </c>
      <c r="G14" s="173" t="s">
        <v>170</v>
      </c>
      <c r="H14" s="358">
        <v>307692.18</v>
      </c>
      <c r="I14" s="204"/>
    </row>
    <row r="15" spans="1:9" ht="12.75">
      <c r="A15" s="428"/>
      <c r="B15" s="428"/>
      <c r="C15" s="433"/>
      <c r="D15" s="433"/>
      <c r="E15" s="440"/>
      <c r="F15" s="195" t="s">
        <v>650</v>
      </c>
      <c r="G15" s="202">
        <f>'Itens 3 e 5 - Desconto'!A3</f>
        <v>0</v>
      </c>
      <c r="H15" s="173">
        <f>ROUND(H14*G15,2)</f>
        <v>0</v>
      </c>
      <c r="I15" s="197"/>
    </row>
    <row r="16" spans="1:9" ht="12.75">
      <c r="A16" s="428"/>
      <c r="B16" s="428"/>
      <c r="C16" s="433"/>
      <c r="D16" s="434"/>
      <c r="E16" s="440"/>
      <c r="F16" s="437" t="s">
        <v>654</v>
      </c>
      <c r="G16" s="438"/>
      <c r="H16" s="173">
        <f>H14-H15</f>
        <v>307692.18</v>
      </c>
      <c r="I16" s="197"/>
    </row>
    <row r="17" spans="1:9" ht="12.75">
      <c r="A17" s="428"/>
      <c r="B17" s="428"/>
      <c r="C17" s="433"/>
      <c r="D17" s="432" t="s">
        <v>170</v>
      </c>
      <c r="E17" s="440"/>
      <c r="F17" s="198" t="s">
        <v>632</v>
      </c>
      <c r="G17" s="199">
        <f>'Itens 2, 3, 6, 7 e 8 - BDI'!C10</f>
        <v>0.26266436822257533</v>
      </c>
      <c r="H17" s="173">
        <f>ROUND(H16*G17,2)</f>
        <v>80819.77</v>
      </c>
      <c r="I17" s="197"/>
    </row>
    <row r="18" spans="1:9" ht="12.75">
      <c r="A18" s="428"/>
      <c r="B18" s="428"/>
      <c r="C18" s="434"/>
      <c r="D18" s="434"/>
      <c r="E18" s="441"/>
      <c r="F18" s="430" t="s">
        <v>659</v>
      </c>
      <c r="G18" s="431"/>
      <c r="H18" s="200">
        <f>H16+H17</f>
        <v>388511.95</v>
      </c>
      <c r="I18" s="197"/>
    </row>
    <row r="19" spans="1:8" ht="63.75" customHeight="1">
      <c r="A19" s="428"/>
      <c r="B19" s="428"/>
      <c r="C19" s="432">
        <v>4</v>
      </c>
      <c r="D19" s="395" t="s">
        <v>1144</v>
      </c>
      <c r="E19" s="439" t="s">
        <v>693</v>
      </c>
      <c r="F19" s="198" t="s">
        <v>599</v>
      </c>
      <c r="G19" s="173" t="s">
        <v>170</v>
      </c>
      <c r="H19" s="193">
        <f>'Item 4 - Materiais'!I193</f>
        <v>1770253.4899999998</v>
      </c>
    </row>
    <row r="20" spans="1:8" ht="12.75">
      <c r="A20" s="428"/>
      <c r="B20" s="428"/>
      <c r="C20" s="433"/>
      <c r="D20" s="432" t="s">
        <v>170</v>
      </c>
      <c r="E20" s="440"/>
      <c r="F20" s="195" t="s">
        <v>632</v>
      </c>
      <c r="G20" s="196">
        <f>'Itens 4 e 5 - BDI'!C10</f>
        <v>0.10890619719771633</v>
      </c>
      <c r="H20" s="193">
        <f>ROUND(H19*G20,2)</f>
        <v>192791.58</v>
      </c>
    </row>
    <row r="21" spans="1:8" ht="12.75">
      <c r="A21" s="428"/>
      <c r="B21" s="428"/>
      <c r="C21" s="434"/>
      <c r="D21" s="434"/>
      <c r="E21" s="441"/>
      <c r="F21" s="430" t="s">
        <v>659</v>
      </c>
      <c r="G21" s="431"/>
      <c r="H21" s="200">
        <f>H19+H20</f>
        <v>1963045.0699999998</v>
      </c>
    </row>
    <row r="22" spans="1:9" ht="12.75">
      <c r="A22" s="428"/>
      <c r="B22" s="428"/>
      <c r="C22" s="432">
        <v>5</v>
      </c>
      <c r="D22" s="432" t="s">
        <v>657</v>
      </c>
      <c r="E22" s="439" t="s">
        <v>684</v>
      </c>
      <c r="F22" s="195" t="s">
        <v>660</v>
      </c>
      <c r="G22" s="173" t="s">
        <v>170</v>
      </c>
      <c r="H22" s="358">
        <v>320835.06</v>
      </c>
      <c r="I22" s="204"/>
    </row>
    <row r="23" spans="1:9" ht="12.75">
      <c r="A23" s="428"/>
      <c r="B23" s="428"/>
      <c r="C23" s="433"/>
      <c r="D23" s="433"/>
      <c r="E23" s="440"/>
      <c r="F23" s="195" t="s">
        <v>650</v>
      </c>
      <c r="G23" s="203">
        <f>'Itens 3 e 5 - Desconto'!A8</f>
        <v>0</v>
      </c>
      <c r="H23" s="193">
        <f>ROUND(H22*G23,2)</f>
        <v>0</v>
      </c>
      <c r="I23" s="205"/>
    </row>
    <row r="24" spans="1:8" ht="12.75">
      <c r="A24" s="428"/>
      <c r="B24" s="428"/>
      <c r="C24" s="433"/>
      <c r="D24" s="434"/>
      <c r="E24" s="440"/>
      <c r="F24" s="437" t="s">
        <v>654</v>
      </c>
      <c r="G24" s="438"/>
      <c r="H24" s="193">
        <f>H22-H23</f>
        <v>320835.06</v>
      </c>
    </row>
    <row r="25" spans="1:8" ht="12.75">
      <c r="A25" s="428"/>
      <c r="B25" s="428"/>
      <c r="C25" s="433"/>
      <c r="D25" s="432" t="s">
        <v>170</v>
      </c>
      <c r="E25" s="440"/>
      <c r="F25" s="195" t="s">
        <v>632</v>
      </c>
      <c r="G25" s="196">
        <f>'Itens 4 e 5 - BDI'!C10</f>
        <v>0.10890619719771633</v>
      </c>
      <c r="H25" s="193">
        <f>ROUND(H24*G25,2)</f>
        <v>34940.93</v>
      </c>
    </row>
    <row r="26" spans="1:8" ht="12.75">
      <c r="A26" s="428"/>
      <c r="B26" s="428"/>
      <c r="C26" s="434"/>
      <c r="D26" s="434"/>
      <c r="E26" s="441"/>
      <c r="F26" s="430" t="s">
        <v>659</v>
      </c>
      <c r="G26" s="431"/>
      <c r="H26" s="200">
        <f>H24+H25</f>
        <v>355775.99</v>
      </c>
    </row>
    <row r="27" spans="1:8" ht="25.5">
      <c r="A27" s="428"/>
      <c r="B27" s="428"/>
      <c r="C27" s="432">
        <v>6</v>
      </c>
      <c r="D27" s="395" t="s">
        <v>1144</v>
      </c>
      <c r="E27" s="439" t="s">
        <v>1145</v>
      </c>
      <c r="F27" s="198" t="s">
        <v>1146</v>
      </c>
      <c r="G27" s="173" t="s">
        <v>170</v>
      </c>
      <c r="H27" s="193">
        <f>'Item 6 - Refrigeracao'!G17</f>
        <v>621644.28</v>
      </c>
    </row>
    <row r="28" spans="1:8" ht="12.75">
      <c r="A28" s="428"/>
      <c r="B28" s="428"/>
      <c r="C28" s="433"/>
      <c r="D28" s="442" t="s">
        <v>170</v>
      </c>
      <c r="E28" s="440"/>
      <c r="F28" s="195" t="s">
        <v>632</v>
      </c>
      <c r="G28" s="196">
        <f>'Itens 2, 3, 6, 7 e 8 - BDI'!C10</f>
        <v>0.26266436822257533</v>
      </c>
      <c r="H28" s="193">
        <f>ROUND(H27*G28,2)</f>
        <v>163283.8</v>
      </c>
    </row>
    <row r="29" spans="1:8" ht="12.75">
      <c r="A29" s="428"/>
      <c r="B29" s="428"/>
      <c r="C29" s="433"/>
      <c r="D29" s="442"/>
      <c r="E29" s="440"/>
      <c r="F29" s="430" t="s">
        <v>659</v>
      </c>
      <c r="G29" s="431"/>
      <c r="H29" s="200">
        <f>H27+H28</f>
        <v>784928.0800000001</v>
      </c>
    </row>
    <row r="30" spans="1:8" ht="25.5" customHeight="1">
      <c r="A30" s="428"/>
      <c r="B30" s="428"/>
      <c r="C30" s="432">
        <v>7</v>
      </c>
      <c r="D30" s="395" t="s">
        <v>1144</v>
      </c>
      <c r="E30" s="439" t="s">
        <v>663</v>
      </c>
      <c r="F30" s="198" t="s">
        <v>600</v>
      </c>
      <c r="G30" s="173" t="s">
        <v>170</v>
      </c>
      <c r="H30" s="193">
        <f>'Item 7 - Extintores'!F50</f>
        <v>3608.4999999999995</v>
      </c>
    </row>
    <row r="31" spans="1:8" ht="12.75">
      <c r="A31" s="428"/>
      <c r="B31" s="428"/>
      <c r="C31" s="433"/>
      <c r="D31" s="442" t="s">
        <v>170</v>
      </c>
      <c r="E31" s="440"/>
      <c r="F31" s="195" t="s">
        <v>632</v>
      </c>
      <c r="G31" s="196">
        <f>'Itens 2, 3, 6, 7 e 8 - BDI'!C10</f>
        <v>0.26266436822257533</v>
      </c>
      <c r="H31" s="193">
        <f>ROUND(H30*G31,2)</f>
        <v>947.82</v>
      </c>
    </row>
    <row r="32" spans="1:8" ht="12.75">
      <c r="A32" s="428"/>
      <c r="B32" s="428"/>
      <c r="C32" s="434"/>
      <c r="D32" s="442"/>
      <c r="E32" s="440"/>
      <c r="F32" s="430" t="s">
        <v>659</v>
      </c>
      <c r="G32" s="431"/>
      <c r="H32" s="200">
        <f>H30+H31</f>
        <v>4556.32</v>
      </c>
    </row>
    <row r="33" spans="1:8" ht="25.5" customHeight="1">
      <c r="A33" s="428"/>
      <c r="B33" s="428"/>
      <c r="C33" s="432">
        <v>8</v>
      </c>
      <c r="D33" s="395" t="s">
        <v>1144</v>
      </c>
      <c r="E33" s="439" t="s">
        <v>664</v>
      </c>
      <c r="F33" s="198" t="s">
        <v>734</v>
      </c>
      <c r="G33" s="173">
        <v>233.94</v>
      </c>
      <c r="H33" s="193">
        <f>ROUND(10*G33,2)</f>
        <v>2339.4</v>
      </c>
    </row>
    <row r="34" spans="1:8" ht="12.75">
      <c r="A34" s="428"/>
      <c r="B34" s="428"/>
      <c r="C34" s="433"/>
      <c r="D34" s="442" t="s">
        <v>170</v>
      </c>
      <c r="E34" s="440"/>
      <c r="F34" s="195" t="s">
        <v>632</v>
      </c>
      <c r="G34" s="196">
        <f>'Itens 2, 3, 6, 7 e 8 - BDI'!C10</f>
        <v>0.26266436822257533</v>
      </c>
      <c r="H34" s="193">
        <f>ROUND(H33*G34,2)</f>
        <v>614.48</v>
      </c>
    </row>
    <row r="35" spans="1:8" ht="12.75">
      <c r="A35" s="429"/>
      <c r="B35" s="429"/>
      <c r="C35" s="434"/>
      <c r="D35" s="442"/>
      <c r="E35" s="440"/>
      <c r="F35" s="430" t="s">
        <v>659</v>
      </c>
      <c r="G35" s="431"/>
      <c r="H35" s="200">
        <f>H33+H34</f>
        <v>2953.88</v>
      </c>
    </row>
    <row r="36" spans="1:9" ht="12.75">
      <c r="A36" s="426" t="s">
        <v>687</v>
      </c>
      <c r="B36" s="426"/>
      <c r="C36" s="426"/>
      <c r="D36" s="426"/>
      <c r="E36" s="426"/>
      <c r="F36" s="426"/>
      <c r="G36" s="426"/>
      <c r="H36" s="201">
        <f>H7+H13+H18+H21+H26+H29+H32+H35</f>
        <v>5345130.88</v>
      </c>
      <c r="I36" s="205"/>
    </row>
    <row r="37" ht="12.75">
      <c r="H37" s="205"/>
    </row>
  </sheetData>
  <sheetProtection password="CC3A" sheet="1" formatCells="0"/>
  <mergeCells count="42">
    <mergeCell ref="F24:G24"/>
    <mergeCell ref="F18:G18"/>
    <mergeCell ref="D12:D13"/>
    <mergeCell ref="E22:E26"/>
    <mergeCell ref="F21:G21"/>
    <mergeCell ref="E8:E13"/>
    <mergeCell ref="C19:C21"/>
    <mergeCell ref="C4:C7"/>
    <mergeCell ref="C14:C18"/>
    <mergeCell ref="C27:C29"/>
    <mergeCell ref="E27:E29"/>
    <mergeCell ref="D28:D29"/>
    <mergeCell ref="A2:H2"/>
    <mergeCell ref="D17:D18"/>
    <mergeCell ref="F26:G26"/>
    <mergeCell ref="E19:E21"/>
    <mergeCell ref="E4:E7"/>
    <mergeCell ref="D20:D21"/>
    <mergeCell ref="B4:B35"/>
    <mergeCell ref="D22:D24"/>
    <mergeCell ref="E33:E35"/>
    <mergeCell ref="F29:G29"/>
    <mergeCell ref="D34:D35"/>
    <mergeCell ref="F32:G32"/>
    <mergeCell ref="A1:H1"/>
    <mergeCell ref="E3:F3"/>
    <mergeCell ref="C8:C11"/>
    <mergeCell ref="H8:H11"/>
    <mergeCell ref="C22:C26"/>
    <mergeCell ref="F7:G7"/>
    <mergeCell ref="D14:D16"/>
    <mergeCell ref="D25:D26"/>
    <mergeCell ref="A36:G36"/>
    <mergeCell ref="A4:A35"/>
    <mergeCell ref="F35:G35"/>
    <mergeCell ref="C33:C35"/>
    <mergeCell ref="C30:C32"/>
    <mergeCell ref="F13:G13"/>
    <mergeCell ref="F16:G16"/>
    <mergeCell ref="E14:E18"/>
    <mergeCell ref="E30:E32"/>
    <mergeCell ref="D31:D32"/>
  </mergeCells>
  <printOptions horizontalCentered="1"/>
  <pageMargins left="0.5118110236220472" right="0.5118110236220472" top="0.7874015748031497" bottom="0.7874015748031497" header="0.31496062992125984" footer="0.31496062992125984"/>
  <pageSetup fitToHeight="1" fitToWidth="1" horizontalDpi="300" verticalDpi="300" orientation="landscape" paperSize="9" scale="84" r:id="rId1"/>
</worksheet>
</file>

<file path=xl/worksheets/sheet10.xml><?xml version="1.0" encoding="utf-8"?>
<worksheet xmlns="http://schemas.openxmlformats.org/spreadsheetml/2006/main" xmlns:r="http://schemas.openxmlformats.org/officeDocument/2006/relationships">
  <sheetPr>
    <pageSetUpPr fitToPage="1"/>
  </sheetPr>
  <dimension ref="A1:H70"/>
  <sheetViews>
    <sheetView showGridLines="0" view="pageBreakPreview" zoomScale="95" zoomScaleNormal="85" zoomScaleSheetLayoutView="95" zoomScalePageLayoutView="0" workbookViewId="0" topLeftCell="A61">
      <selection activeCell="G13" sqref="G13"/>
    </sheetView>
  </sheetViews>
  <sheetFormatPr defaultColWidth="8.7109375" defaultRowHeight="15"/>
  <cols>
    <col min="1" max="1" width="4.7109375" style="110" bestFit="1" customWidth="1"/>
    <col min="2" max="2" width="72.28125" style="110" customWidth="1"/>
    <col min="3" max="3" width="12.28125" style="110" customWidth="1"/>
    <col min="4" max="4" width="8.7109375" style="110" customWidth="1"/>
    <col min="5" max="5" width="19.00390625" style="110" customWidth="1"/>
    <col min="6" max="6" width="11.28125" style="110" customWidth="1"/>
    <col min="7" max="7" width="11.8515625" style="110" customWidth="1"/>
    <col min="8" max="8" width="13.57421875" style="276" customWidth="1"/>
    <col min="9" max="16384" width="8.7109375" style="110" customWidth="1"/>
  </cols>
  <sheetData>
    <row r="1" spans="1:8" ht="15.75">
      <c r="A1" s="450" t="s">
        <v>574</v>
      </c>
      <c r="B1" s="450"/>
      <c r="C1" s="450"/>
      <c r="D1" s="450"/>
      <c r="E1" s="450"/>
      <c r="F1" s="450"/>
      <c r="G1" s="450"/>
      <c r="H1" s="450"/>
    </row>
    <row r="2" spans="1:8" ht="38.25">
      <c r="A2" s="139" t="s">
        <v>263</v>
      </c>
      <c r="B2" s="139" t="s">
        <v>312</v>
      </c>
      <c r="C2" s="139" t="s">
        <v>738</v>
      </c>
      <c r="D2" s="139" t="s">
        <v>275</v>
      </c>
      <c r="E2" s="139" t="s">
        <v>262</v>
      </c>
      <c r="F2" s="139" t="s">
        <v>1132</v>
      </c>
      <c r="G2" s="139" t="s">
        <v>134</v>
      </c>
      <c r="H2" s="139" t="s">
        <v>456</v>
      </c>
    </row>
    <row r="3" spans="1:8" ht="15">
      <c r="A3" s="339">
        <v>1</v>
      </c>
      <c r="B3" s="140" t="s">
        <v>754</v>
      </c>
      <c r="C3" s="140" t="s">
        <v>755</v>
      </c>
      <c r="D3" s="141">
        <v>484598</v>
      </c>
      <c r="E3" s="142" t="s">
        <v>756</v>
      </c>
      <c r="F3" s="142">
        <v>2</v>
      </c>
      <c r="G3" s="350">
        <v>5.32</v>
      </c>
      <c r="H3" s="265">
        <f aca="true" t="shared" si="0" ref="H3:H20">ROUND(F3*G3,2)</f>
        <v>10.64</v>
      </c>
    </row>
    <row r="4" spans="1:8" ht="15">
      <c r="A4" s="339">
        <v>2</v>
      </c>
      <c r="B4" s="140" t="s">
        <v>757</v>
      </c>
      <c r="C4" s="140" t="s">
        <v>755</v>
      </c>
      <c r="D4" s="142">
        <v>431358</v>
      </c>
      <c r="E4" s="142" t="s">
        <v>756</v>
      </c>
      <c r="F4" s="142">
        <v>4</v>
      </c>
      <c r="G4" s="350">
        <v>16.47</v>
      </c>
      <c r="H4" s="265">
        <f t="shared" si="0"/>
        <v>65.88</v>
      </c>
    </row>
    <row r="5" spans="1:8" ht="15">
      <c r="A5" s="339">
        <v>3</v>
      </c>
      <c r="B5" s="140" t="s">
        <v>758</v>
      </c>
      <c r="C5" s="140" t="s">
        <v>755</v>
      </c>
      <c r="D5" s="142">
        <v>395451</v>
      </c>
      <c r="E5" s="142" t="s">
        <v>756</v>
      </c>
      <c r="F5" s="142">
        <v>2</v>
      </c>
      <c r="G5" s="350">
        <v>19.13</v>
      </c>
      <c r="H5" s="265">
        <f t="shared" si="0"/>
        <v>38.26</v>
      </c>
    </row>
    <row r="6" spans="1:8" ht="15">
      <c r="A6" s="339">
        <v>4</v>
      </c>
      <c r="B6" s="140" t="s">
        <v>480</v>
      </c>
      <c r="C6" s="140" t="s">
        <v>759</v>
      </c>
      <c r="D6" s="141">
        <v>266924</v>
      </c>
      <c r="E6" s="142" t="s">
        <v>464</v>
      </c>
      <c r="F6" s="142">
        <v>2</v>
      </c>
      <c r="G6" s="350">
        <v>16.86</v>
      </c>
      <c r="H6" s="265">
        <f t="shared" si="0"/>
        <v>33.72</v>
      </c>
    </row>
    <row r="7" spans="1:8" ht="15">
      <c r="A7" s="339">
        <v>5</v>
      </c>
      <c r="B7" s="140" t="s">
        <v>472</v>
      </c>
      <c r="C7" s="140"/>
      <c r="D7" s="141">
        <v>472050</v>
      </c>
      <c r="E7" s="142" t="s">
        <v>756</v>
      </c>
      <c r="F7" s="142">
        <v>2</v>
      </c>
      <c r="G7" s="350">
        <v>34.81</v>
      </c>
      <c r="H7" s="265">
        <f t="shared" si="0"/>
        <v>69.62</v>
      </c>
    </row>
    <row r="8" spans="1:8" ht="15">
      <c r="A8" s="339">
        <v>6</v>
      </c>
      <c r="B8" s="140" t="s">
        <v>481</v>
      </c>
      <c r="C8" s="140" t="s">
        <v>760</v>
      </c>
      <c r="D8" s="141">
        <v>449661</v>
      </c>
      <c r="E8" s="142" t="s">
        <v>262</v>
      </c>
      <c r="F8" s="142">
        <v>10</v>
      </c>
      <c r="G8" s="350">
        <v>7.93</v>
      </c>
      <c r="H8" s="265">
        <f t="shared" si="0"/>
        <v>79.3</v>
      </c>
    </row>
    <row r="9" spans="1:8" ht="15">
      <c r="A9" s="339">
        <v>7</v>
      </c>
      <c r="B9" s="140" t="s">
        <v>482</v>
      </c>
      <c r="C9" s="140" t="s">
        <v>760</v>
      </c>
      <c r="D9" s="141">
        <v>454296</v>
      </c>
      <c r="E9" s="142" t="s">
        <v>262</v>
      </c>
      <c r="F9" s="142">
        <v>10</v>
      </c>
      <c r="G9" s="350">
        <v>6.75</v>
      </c>
      <c r="H9" s="265">
        <f t="shared" si="0"/>
        <v>67.5</v>
      </c>
    </row>
    <row r="10" spans="1:8" ht="15">
      <c r="A10" s="339">
        <v>8</v>
      </c>
      <c r="B10" s="140" t="s">
        <v>761</v>
      </c>
      <c r="C10" s="140" t="s">
        <v>760</v>
      </c>
      <c r="D10" s="141">
        <v>485118</v>
      </c>
      <c r="E10" s="142" t="s">
        <v>262</v>
      </c>
      <c r="F10" s="142">
        <v>8</v>
      </c>
      <c r="G10" s="350">
        <v>9.92</v>
      </c>
      <c r="H10" s="265">
        <f t="shared" si="0"/>
        <v>79.36</v>
      </c>
    </row>
    <row r="11" spans="1:8" ht="15">
      <c r="A11" s="339">
        <v>9</v>
      </c>
      <c r="B11" s="140" t="s">
        <v>483</v>
      </c>
      <c r="C11" s="140" t="s">
        <v>760</v>
      </c>
      <c r="D11" s="141">
        <v>443315</v>
      </c>
      <c r="E11" s="142" t="s">
        <v>262</v>
      </c>
      <c r="F11" s="142">
        <v>10</v>
      </c>
      <c r="G11" s="350">
        <v>13.94</v>
      </c>
      <c r="H11" s="265">
        <f t="shared" si="0"/>
        <v>139.4</v>
      </c>
    </row>
    <row r="12" spans="1:8" ht="15">
      <c r="A12" s="339">
        <v>10</v>
      </c>
      <c r="B12" s="140" t="s">
        <v>762</v>
      </c>
      <c r="C12" s="140" t="s">
        <v>760</v>
      </c>
      <c r="D12" s="141">
        <v>312626</v>
      </c>
      <c r="E12" s="142" t="s">
        <v>262</v>
      </c>
      <c r="F12" s="142">
        <v>10</v>
      </c>
      <c r="G12" s="350">
        <v>27.2</v>
      </c>
      <c r="H12" s="265">
        <f t="shared" si="0"/>
        <v>272</v>
      </c>
    </row>
    <row r="13" spans="1:8" ht="15">
      <c r="A13" s="339">
        <v>11</v>
      </c>
      <c r="B13" s="140" t="s">
        <v>763</v>
      </c>
      <c r="C13" s="140" t="s">
        <v>760</v>
      </c>
      <c r="D13" s="141">
        <v>485115</v>
      </c>
      <c r="E13" s="142" t="s">
        <v>262</v>
      </c>
      <c r="F13" s="142">
        <v>6</v>
      </c>
      <c r="G13" s="350">
        <v>33.77</v>
      </c>
      <c r="H13" s="265">
        <f t="shared" si="0"/>
        <v>202.62</v>
      </c>
    </row>
    <row r="14" spans="1:8" ht="15">
      <c r="A14" s="339">
        <v>12</v>
      </c>
      <c r="B14" s="140" t="s">
        <v>764</v>
      </c>
      <c r="C14" s="140" t="s">
        <v>760</v>
      </c>
      <c r="D14" s="141">
        <v>485116</v>
      </c>
      <c r="E14" s="142" t="s">
        <v>262</v>
      </c>
      <c r="F14" s="142">
        <v>6</v>
      </c>
      <c r="G14" s="350">
        <v>47.66</v>
      </c>
      <c r="H14" s="265">
        <f t="shared" si="0"/>
        <v>285.96</v>
      </c>
    </row>
    <row r="15" spans="1:8" ht="17.25">
      <c r="A15" s="339">
        <v>13</v>
      </c>
      <c r="B15" s="140" t="s">
        <v>765</v>
      </c>
      <c r="C15" s="140"/>
      <c r="D15" s="141">
        <v>438799</v>
      </c>
      <c r="E15" s="142" t="s">
        <v>467</v>
      </c>
      <c r="F15" s="142">
        <v>4</v>
      </c>
      <c r="G15" s="350">
        <v>25.28</v>
      </c>
      <c r="H15" s="266">
        <f t="shared" si="0"/>
        <v>101.12</v>
      </c>
    </row>
    <row r="16" spans="1:8" ht="17.25">
      <c r="A16" s="339">
        <v>14</v>
      </c>
      <c r="B16" s="140" t="s">
        <v>766</v>
      </c>
      <c r="C16" s="140"/>
      <c r="D16" s="141">
        <v>438800</v>
      </c>
      <c r="E16" s="142" t="s">
        <v>467</v>
      </c>
      <c r="F16" s="142">
        <v>4</v>
      </c>
      <c r="G16" s="350">
        <v>26.52</v>
      </c>
      <c r="H16" s="266">
        <f t="shared" si="0"/>
        <v>106.08</v>
      </c>
    </row>
    <row r="17" spans="1:8" ht="17.25">
      <c r="A17" s="339">
        <v>15</v>
      </c>
      <c r="B17" s="140" t="s">
        <v>767</v>
      </c>
      <c r="C17" s="140"/>
      <c r="D17" s="141">
        <v>438801</v>
      </c>
      <c r="E17" s="142" t="s">
        <v>467</v>
      </c>
      <c r="F17" s="142">
        <v>2</v>
      </c>
      <c r="G17" s="350">
        <v>29.89</v>
      </c>
      <c r="H17" s="266">
        <f t="shared" si="0"/>
        <v>59.78</v>
      </c>
    </row>
    <row r="18" spans="1:8" ht="15">
      <c r="A18" s="339">
        <v>16</v>
      </c>
      <c r="B18" s="267" t="s">
        <v>768</v>
      </c>
      <c r="C18" s="267" t="s">
        <v>769</v>
      </c>
      <c r="D18" s="418">
        <v>66893</v>
      </c>
      <c r="E18" s="141" t="s">
        <v>770</v>
      </c>
      <c r="F18" s="141">
        <v>6</v>
      </c>
      <c r="G18" s="350">
        <v>98.54</v>
      </c>
      <c r="H18" s="268">
        <f t="shared" si="0"/>
        <v>591.24</v>
      </c>
    </row>
    <row r="19" spans="1:8" ht="15">
      <c r="A19" s="339">
        <v>17</v>
      </c>
      <c r="B19" s="140" t="s">
        <v>484</v>
      </c>
      <c r="C19" s="140" t="s">
        <v>771</v>
      </c>
      <c r="D19" s="141">
        <v>456292</v>
      </c>
      <c r="E19" s="142" t="s">
        <v>262</v>
      </c>
      <c r="F19" s="142">
        <v>10</v>
      </c>
      <c r="G19" s="350">
        <v>7.71</v>
      </c>
      <c r="H19" s="265">
        <f t="shared" si="0"/>
        <v>77.1</v>
      </c>
    </row>
    <row r="20" spans="1:8" ht="15">
      <c r="A20" s="339">
        <v>18</v>
      </c>
      <c r="B20" s="140" t="s">
        <v>772</v>
      </c>
      <c r="C20" s="140" t="s">
        <v>771</v>
      </c>
      <c r="D20" s="141">
        <v>318895</v>
      </c>
      <c r="E20" s="142" t="s">
        <v>262</v>
      </c>
      <c r="F20" s="142">
        <v>10</v>
      </c>
      <c r="G20" s="350">
        <v>7.71</v>
      </c>
      <c r="H20" s="265">
        <f t="shared" si="0"/>
        <v>77.1</v>
      </c>
    </row>
    <row r="21" spans="1:8" ht="15">
      <c r="A21" s="339">
        <v>19</v>
      </c>
      <c r="B21" s="145" t="s">
        <v>487</v>
      </c>
      <c r="C21" s="145" t="s">
        <v>773</v>
      </c>
      <c r="D21" s="141">
        <v>396594</v>
      </c>
      <c r="E21" s="142" t="s">
        <v>391</v>
      </c>
      <c r="F21" s="141">
        <v>2</v>
      </c>
      <c r="G21" s="350">
        <v>568.19</v>
      </c>
      <c r="H21" s="265">
        <f aca="true" t="shared" si="1" ref="H21:H63">ROUND(F21*G21,2)</f>
        <v>1136.38</v>
      </c>
    </row>
    <row r="22" spans="1:8" ht="15">
      <c r="A22" s="339">
        <v>20</v>
      </c>
      <c r="B22" s="140" t="s">
        <v>479</v>
      </c>
      <c r="C22" s="140"/>
      <c r="D22" s="141">
        <v>344709</v>
      </c>
      <c r="E22" s="142" t="s">
        <v>462</v>
      </c>
      <c r="F22" s="142">
        <v>4</v>
      </c>
      <c r="G22" s="350">
        <v>18.7</v>
      </c>
      <c r="H22" s="265">
        <f t="shared" si="1"/>
        <v>74.8</v>
      </c>
    </row>
    <row r="23" spans="1:8" ht="15">
      <c r="A23" s="339">
        <v>21</v>
      </c>
      <c r="B23" s="140" t="s">
        <v>774</v>
      </c>
      <c r="C23" s="140" t="s">
        <v>775</v>
      </c>
      <c r="D23" s="142">
        <v>315485</v>
      </c>
      <c r="E23" s="142" t="s">
        <v>459</v>
      </c>
      <c r="F23" s="142">
        <v>10</v>
      </c>
      <c r="G23" s="350">
        <v>8.43</v>
      </c>
      <c r="H23" s="265">
        <f t="shared" si="1"/>
        <v>84.3</v>
      </c>
    </row>
    <row r="24" spans="1:8" ht="15">
      <c r="A24" s="339">
        <v>22</v>
      </c>
      <c r="B24" s="269" t="s">
        <v>494</v>
      </c>
      <c r="C24" s="269"/>
      <c r="D24" s="270">
        <v>349549</v>
      </c>
      <c r="E24" s="142" t="s">
        <v>316</v>
      </c>
      <c r="F24" s="144">
        <v>200</v>
      </c>
      <c r="G24" s="350">
        <v>31.53</v>
      </c>
      <c r="H24" s="265">
        <f t="shared" si="1"/>
        <v>6306</v>
      </c>
    </row>
    <row r="25" spans="1:8" ht="38.25">
      <c r="A25" s="339">
        <v>23</v>
      </c>
      <c r="B25" s="271" t="s">
        <v>458</v>
      </c>
      <c r="C25" s="271"/>
      <c r="D25" s="258">
        <v>446916</v>
      </c>
      <c r="E25" s="339" t="s">
        <v>459</v>
      </c>
      <c r="F25" s="339">
        <v>48</v>
      </c>
      <c r="G25" s="351">
        <v>28.36</v>
      </c>
      <c r="H25" s="265">
        <f t="shared" si="1"/>
        <v>1361.28</v>
      </c>
    </row>
    <row r="26" spans="1:8" ht="15">
      <c r="A26" s="339">
        <v>24</v>
      </c>
      <c r="B26" s="140" t="s">
        <v>460</v>
      </c>
      <c r="C26" s="140"/>
      <c r="D26" s="141">
        <v>319589</v>
      </c>
      <c r="E26" s="142" t="s">
        <v>459</v>
      </c>
      <c r="F26" s="142">
        <v>6</v>
      </c>
      <c r="G26" s="350">
        <v>7.6</v>
      </c>
      <c r="H26" s="265">
        <f t="shared" si="1"/>
        <v>45.6</v>
      </c>
    </row>
    <row r="27" spans="1:8" ht="15">
      <c r="A27" s="339">
        <v>25</v>
      </c>
      <c r="B27" s="143" t="s">
        <v>485</v>
      </c>
      <c r="C27" s="143"/>
      <c r="D27" s="144">
        <v>355427</v>
      </c>
      <c r="E27" s="144" t="s">
        <v>342</v>
      </c>
      <c r="F27" s="141">
        <v>400</v>
      </c>
      <c r="G27" s="350">
        <v>13.66</v>
      </c>
      <c r="H27" s="265">
        <f t="shared" si="1"/>
        <v>5464</v>
      </c>
    </row>
    <row r="28" spans="1:8" ht="15">
      <c r="A28" s="339">
        <v>26</v>
      </c>
      <c r="B28" s="140" t="s">
        <v>470</v>
      </c>
      <c r="C28" s="140"/>
      <c r="D28" s="141">
        <v>360673</v>
      </c>
      <c r="E28" s="142" t="s">
        <v>262</v>
      </c>
      <c r="F28" s="142">
        <v>100</v>
      </c>
      <c r="G28" s="350">
        <v>2.37</v>
      </c>
      <c r="H28" s="265">
        <f t="shared" si="1"/>
        <v>237</v>
      </c>
    </row>
    <row r="29" spans="1:8" ht="15">
      <c r="A29" s="339">
        <v>27</v>
      </c>
      <c r="B29" s="140" t="s">
        <v>471</v>
      </c>
      <c r="C29" s="140"/>
      <c r="D29" s="141">
        <v>360675</v>
      </c>
      <c r="E29" s="142" t="s">
        <v>262</v>
      </c>
      <c r="F29" s="142">
        <v>100</v>
      </c>
      <c r="G29" s="350">
        <v>2.39</v>
      </c>
      <c r="H29" s="265">
        <f t="shared" si="1"/>
        <v>239</v>
      </c>
    </row>
    <row r="30" spans="1:8" ht="15">
      <c r="A30" s="339">
        <v>28</v>
      </c>
      <c r="B30" s="140" t="s">
        <v>468</v>
      </c>
      <c r="C30" s="140"/>
      <c r="D30" s="141">
        <v>360700</v>
      </c>
      <c r="E30" s="142" t="s">
        <v>262</v>
      </c>
      <c r="F30" s="142">
        <v>200</v>
      </c>
      <c r="G30" s="350">
        <v>0.78</v>
      </c>
      <c r="H30" s="265">
        <f t="shared" si="1"/>
        <v>156</v>
      </c>
    </row>
    <row r="31" spans="1:8" ht="15">
      <c r="A31" s="339">
        <v>29</v>
      </c>
      <c r="B31" s="140" t="s">
        <v>469</v>
      </c>
      <c r="C31" s="140"/>
      <c r="D31" s="141">
        <v>360702</v>
      </c>
      <c r="E31" s="142" t="s">
        <v>262</v>
      </c>
      <c r="F31" s="142">
        <v>200</v>
      </c>
      <c r="G31" s="350">
        <v>0.87</v>
      </c>
      <c r="H31" s="265">
        <f t="shared" si="1"/>
        <v>174</v>
      </c>
    </row>
    <row r="32" spans="1:8" ht="15">
      <c r="A32" s="339">
        <v>30</v>
      </c>
      <c r="B32" s="140" t="s">
        <v>776</v>
      </c>
      <c r="C32" s="140" t="s">
        <v>777</v>
      </c>
      <c r="D32" s="141">
        <v>419757</v>
      </c>
      <c r="E32" s="142" t="s">
        <v>262</v>
      </c>
      <c r="F32" s="142">
        <v>4</v>
      </c>
      <c r="G32" s="350">
        <v>28.81</v>
      </c>
      <c r="H32" s="265">
        <f t="shared" si="1"/>
        <v>115.24</v>
      </c>
    </row>
    <row r="33" spans="1:8" ht="15">
      <c r="A33" s="339">
        <v>31</v>
      </c>
      <c r="B33" s="140" t="s">
        <v>778</v>
      </c>
      <c r="C33" s="140" t="s">
        <v>777</v>
      </c>
      <c r="D33" s="141">
        <v>288844</v>
      </c>
      <c r="E33" s="142" t="s">
        <v>262</v>
      </c>
      <c r="F33" s="142">
        <v>20</v>
      </c>
      <c r="G33" s="350">
        <v>10.54</v>
      </c>
      <c r="H33" s="265">
        <f t="shared" si="1"/>
        <v>210.8</v>
      </c>
    </row>
    <row r="34" spans="1:8" ht="15">
      <c r="A34" s="339">
        <v>32</v>
      </c>
      <c r="B34" s="140" t="s">
        <v>478</v>
      </c>
      <c r="C34" s="140"/>
      <c r="D34" s="141">
        <v>259735</v>
      </c>
      <c r="E34" s="142" t="s">
        <v>391</v>
      </c>
      <c r="F34" s="142">
        <v>4</v>
      </c>
      <c r="G34" s="350">
        <v>25.16</v>
      </c>
      <c r="H34" s="265">
        <f t="shared" si="1"/>
        <v>100.64</v>
      </c>
    </row>
    <row r="35" spans="1:8" ht="15">
      <c r="A35" s="339">
        <v>33</v>
      </c>
      <c r="B35" s="272" t="s">
        <v>779</v>
      </c>
      <c r="C35" s="250"/>
      <c r="D35" s="141">
        <v>262861</v>
      </c>
      <c r="E35" s="180" t="s">
        <v>391</v>
      </c>
      <c r="F35" s="180">
        <v>4</v>
      </c>
      <c r="G35" s="350">
        <v>23.13</v>
      </c>
      <c r="H35" s="265">
        <f t="shared" si="1"/>
        <v>92.52</v>
      </c>
    </row>
    <row r="36" spans="1:8" ht="15">
      <c r="A36" s="339">
        <v>34</v>
      </c>
      <c r="B36" s="140" t="s">
        <v>488</v>
      </c>
      <c r="C36" s="140"/>
      <c r="D36" s="141">
        <v>474487</v>
      </c>
      <c r="E36" s="142" t="s">
        <v>464</v>
      </c>
      <c r="F36" s="141">
        <v>6</v>
      </c>
      <c r="G36" s="350">
        <v>6.79</v>
      </c>
      <c r="H36" s="265">
        <f t="shared" si="1"/>
        <v>40.74</v>
      </c>
    </row>
    <row r="37" spans="1:8" ht="15">
      <c r="A37" s="339">
        <v>35</v>
      </c>
      <c r="B37" s="140" t="s">
        <v>697</v>
      </c>
      <c r="C37" s="140"/>
      <c r="D37" s="141">
        <v>392189</v>
      </c>
      <c r="E37" s="142" t="s">
        <v>690</v>
      </c>
      <c r="F37" s="142">
        <v>6</v>
      </c>
      <c r="G37" s="350">
        <v>27.39</v>
      </c>
      <c r="H37" s="266">
        <f t="shared" si="1"/>
        <v>164.34</v>
      </c>
    </row>
    <row r="38" spans="1:8" ht="15">
      <c r="A38" s="339">
        <v>36</v>
      </c>
      <c r="B38" s="140" t="s">
        <v>698</v>
      </c>
      <c r="C38" s="140"/>
      <c r="D38" s="141">
        <v>392193</v>
      </c>
      <c r="E38" s="142" t="s">
        <v>467</v>
      </c>
      <c r="F38" s="142">
        <v>20</v>
      </c>
      <c r="G38" s="350">
        <v>36.52</v>
      </c>
      <c r="H38" s="266">
        <f t="shared" si="1"/>
        <v>730.4</v>
      </c>
    </row>
    <row r="39" spans="1:8" ht="25.5">
      <c r="A39" s="339">
        <v>37</v>
      </c>
      <c r="B39" s="146" t="s">
        <v>701</v>
      </c>
      <c r="C39" s="146"/>
      <c r="D39" s="144">
        <v>39934</v>
      </c>
      <c r="E39" s="142" t="s">
        <v>262</v>
      </c>
      <c r="F39" s="144">
        <v>200</v>
      </c>
      <c r="G39" s="350">
        <v>0.49</v>
      </c>
      <c r="H39" s="265">
        <f t="shared" si="1"/>
        <v>98</v>
      </c>
    </row>
    <row r="40" spans="1:8" ht="15">
      <c r="A40" s="339">
        <v>38</v>
      </c>
      <c r="B40" s="140" t="s">
        <v>465</v>
      </c>
      <c r="C40" s="140"/>
      <c r="D40" s="141">
        <v>406102</v>
      </c>
      <c r="E40" s="142" t="s">
        <v>262</v>
      </c>
      <c r="F40" s="142">
        <v>600</v>
      </c>
      <c r="G40" s="350">
        <v>0.16</v>
      </c>
      <c r="H40" s="265">
        <f t="shared" si="1"/>
        <v>96</v>
      </c>
    </row>
    <row r="41" spans="1:8" ht="15">
      <c r="A41" s="339">
        <v>39</v>
      </c>
      <c r="B41" s="140" t="s">
        <v>699</v>
      </c>
      <c r="C41" s="140"/>
      <c r="D41" s="141">
        <v>347978</v>
      </c>
      <c r="E41" s="142" t="s">
        <v>467</v>
      </c>
      <c r="F41" s="142">
        <v>10</v>
      </c>
      <c r="G41" s="350">
        <v>61.76</v>
      </c>
      <c r="H41" s="266">
        <f t="shared" si="1"/>
        <v>617.6</v>
      </c>
    </row>
    <row r="42" spans="1:8" ht="15">
      <c r="A42" s="339">
        <v>40</v>
      </c>
      <c r="B42" s="146" t="s">
        <v>700</v>
      </c>
      <c r="C42" s="146"/>
      <c r="D42" s="144">
        <v>39934</v>
      </c>
      <c r="E42" s="142" t="s">
        <v>262</v>
      </c>
      <c r="F42" s="144">
        <v>200</v>
      </c>
      <c r="G42" s="350">
        <v>0.09</v>
      </c>
      <c r="H42" s="265">
        <f t="shared" si="1"/>
        <v>18</v>
      </c>
    </row>
    <row r="43" spans="1:8" ht="15">
      <c r="A43" s="339">
        <v>41</v>
      </c>
      <c r="B43" s="146" t="s">
        <v>702</v>
      </c>
      <c r="C43" s="146"/>
      <c r="D43" s="144">
        <v>39934</v>
      </c>
      <c r="E43" s="142" t="s">
        <v>262</v>
      </c>
      <c r="F43" s="144">
        <v>100</v>
      </c>
      <c r="G43" s="350">
        <v>0.47</v>
      </c>
      <c r="H43" s="265">
        <f t="shared" si="1"/>
        <v>47</v>
      </c>
    </row>
    <row r="44" spans="1:8" ht="25.5">
      <c r="A44" s="339">
        <v>42</v>
      </c>
      <c r="B44" s="146" t="s">
        <v>493</v>
      </c>
      <c r="C44" s="146"/>
      <c r="D44" s="144">
        <v>233912</v>
      </c>
      <c r="E44" s="142" t="s">
        <v>262</v>
      </c>
      <c r="F44" s="144">
        <v>10</v>
      </c>
      <c r="G44" s="350">
        <v>7.5</v>
      </c>
      <c r="H44" s="265">
        <f t="shared" si="1"/>
        <v>75</v>
      </c>
    </row>
    <row r="45" spans="1:8" ht="25.5">
      <c r="A45" s="339">
        <v>43</v>
      </c>
      <c r="B45" s="146" t="s">
        <v>491</v>
      </c>
      <c r="C45" s="146"/>
      <c r="D45" s="144">
        <v>228219</v>
      </c>
      <c r="E45" s="142" t="s">
        <v>262</v>
      </c>
      <c r="F45" s="144">
        <v>10</v>
      </c>
      <c r="G45" s="350">
        <v>3.03</v>
      </c>
      <c r="H45" s="265">
        <f t="shared" si="1"/>
        <v>30.3</v>
      </c>
    </row>
    <row r="46" spans="1:8" ht="38.25">
      <c r="A46" s="339">
        <v>44</v>
      </c>
      <c r="B46" s="146" t="s">
        <v>492</v>
      </c>
      <c r="C46" s="146"/>
      <c r="D46" s="144">
        <v>228218</v>
      </c>
      <c r="E46" s="142" t="s">
        <v>262</v>
      </c>
      <c r="F46" s="144">
        <v>10</v>
      </c>
      <c r="G46" s="350">
        <v>5.49</v>
      </c>
      <c r="H46" s="265">
        <f t="shared" si="1"/>
        <v>54.9</v>
      </c>
    </row>
    <row r="47" spans="1:8" ht="25.5">
      <c r="A47" s="339">
        <v>45</v>
      </c>
      <c r="B47" s="146" t="s">
        <v>490</v>
      </c>
      <c r="C47" s="146"/>
      <c r="D47" s="144">
        <v>453722</v>
      </c>
      <c r="E47" s="142" t="s">
        <v>262</v>
      </c>
      <c r="F47" s="144">
        <v>10</v>
      </c>
      <c r="G47" s="350">
        <v>6.22</v>
      </c>
      <c r="H47" s="265">
        <f t="shared" si="1"/>
        <v>62.2</v>
      </c>
    </row>
    <row r="48" spans="1:8" ht="25.5">
      <c r="A48" s="339">
        <v>46</v>
      </c>
      <c r="B48" s="146" t="s">
        <v>489</v>
      </c>
      <c r="C48" s="146"/>
      <c r="D48" s="144">
        <v>453723</v>
      </c>
      <c r="E48" s="142" t="s">
        <v>262</v>
      </c>
      <c r="F48" s="144">
        <v>8</v>
      </c>
      <c r="G48" s="350">
        <v>19</v>
      </c>
      <c r="H48" s="265">
        <f t="shared" si="1"/>
        <v>152</v>
      </c>
    </row>
    <row r="49" spans="1:8" ht="15">
      <c r="A49" s="339">
        <v>47</v>
      </c>
      <c r="B49" s="140" t="s">
        <v>461</v>
      </c>
      <c r="C49" s="140"/>
      <c r="D49" s="141">
        <v>127655</v>
      </c>
      <c r="E49" s="142" t="s">
        <v>462</v>
      </c>
      <c r="F49" s="142">
        <v>1</v>
      </c>
      <c r="G49" s="350">
        <v>27.57</v>
      </c>
      <c r="H49" s="265">
        <f t="shared" si="1"/>
        <v>27.57</v>
      </c>
    </row>
    <row r="50" spans="1:8" ht="15">
      <c r="A50" s="339">
        <v>48</v>
      </c>
      <c r="B50" s="140" t="s">
        <v>466</v>
      </c>
      <c r="C50" s="140"/>
      <c r="D50" s="141">
        <v>432416</v>
      </c>
      <c r="E50" s="142" t="s">
        <v>462</v>
      </c>
      <c r="F50" s="142">
        <v>4</v>
      </c>
      <c r="G50" s="350">
        <v>24.81</v>
      </c>
      <c r="H50" s="265">
        <f t="shared" si="1"/>
        <v>99.24</v>
      </c>
    </row>
    <row r="51" spans="1:8" ht="15">
      <c r="A51" s="339">
        <v>49</v>
      </c>
      <c r="B51" s="140" t="s">
        <v>473</v>
      </c>
      <c r="C51" s="140"/>
      <c r="D51" s="141">
        <v>444582</v>
      </c>
      <c r="E51" s="142" t="s">
        <v>462</v>
      </c>
      <c r="F51" s="142">
        <v>2</v>
      </c>
      <c r="G51" s="350">
        <v>104.73</v>
      </c>
      <c r="H51" s="265">
        <f t="shared" si="1"/>
        <v>209.46</v>
      </c>
    </row>
    <row r="52" spans="1:8" ht="15">
      <c r="A52" s="339">
        <v>50</v>
      </c>
      <c r="B52" s="140" t="s">
        <v>780</v>
      </c>
      <c r="C52" s="273"/>
      <c r="D52" s="274"/>
      <c r="E52" s="147" t="s">
        <v>462</v>
      </c>
      <c r="F52" s="147">
        <v>2</v>
      </c>
      <c r="G52" s="352">
        <v>165.07</v>
      </c>
      <c r="H52" s="265">
        <f t="shared" si="1"/>
        <v>330.14</v>
      </c>
    </row>
    <row r="53" spans="1:8" ht="15">
      <c r="A53" s="339">
        <v>51</v>
      </c>
      <c r="B53" s="140" t="s">
        <v>781</v>
      </c>
      <c r="C53" s="273"/>
      <c r="D53" s="274"/>
      <c r="E53" s="147" t="s">
        <v>462</v>
      </c>
      <c r="F53" s="147">
        <v>2</v>
      </c>
      <c r="G53" s="352">
        <v>27.49</v>
      </c>
      <c r="H53" s="265">
        <f t="shared" si="1"/>
        <v>54.98</v>
      </c>
    </row>
    <row r="54" spans="1:8" ht="15">
      <c r="A54" s="339">
        <v>52</v>
      </c>
      <c r="B54" s="273" t="s">
        <v>782</v>
      </c>
      <c r="C54" s="273"/>
      <c r="D54" s="274"/>
      <c r="E54" s="147" t="s">
        <v>464</v>
      </c>
      <c r="F54" s="147">
        <v>2</v>
      </c>
      <c r="G54" s="352">
        <v>31.96</v>
      </c>
      <c r="H54" s="265">
        <f t="shared" si="1"/>
        <v>63.92</v>
      </c>
    </row>
    <row r="55" spans="1:8" ht="15">
      <c r="A55" s="339">
        <v>53</v>
      </c>
      <c r="B55" s="275" t="s">
        <v>486</v>
      </c>
      <c r="C55" s="275"/>
      <c r="D55" s="274">
        <v>370651</v>
      </c>
      <c r="E55" s="147" t="s">
        <v>459</v>
      </c>
      <c r="F55" s="274">
        <v>2</v>
      </c>
      <c r="G55" s="352">
        <v>87.49</v>
      </c>
      <c r="H55" s="265">
        <f t="shared" si="1"/>
        <v>174.98</v>
      </c>
    </row>
    <row r="56" spans="1:8" ht="15">
      <c r="A56" s="339">
        <v>54</v>
      </c>
      <c r="B56" s="140" t="s">
        <v>476</v>
      </c>
      <c r="C56" s="140"/>
      <c r="D56" s="141">
        <v>397729</v>
      </c>
      <c r="E56" s="142" t="s">
        <v>262</v>
      </c>
      <c r="F56" s="142">
        <v>8</v>
      </c>
      <c r="G56" s="350">
        <v>35.5</v>
      </c>
      <c r="H56" s="265">
        <f t="shared" si="1"/>
        <v>284</v>
      </c>
    </row>
    <row r="57" spans="1:8" ht="15">
      <c r="A57" s="339">
        <v>55</v>
      </c>
      <c r="B57" s="140" t="s">
        <v>477</v>
      </c>
      <c r="C57" s="140"/>
      <c r="D57" s="141">
        <v>397729</v>
      </c>
      <c r="E57" s="142" t="s">
        <v>262</v>
      </c>
      <c r="F57" s="142">
        <v>8</v>
      </c>
      <c r="G57" s="350">
        <v>31.73</v>
      </c>
      <c r="H57" s="265">
        <f t="shared" si="1"/>
        <v>253.84</v>
      </c>
    </row>
    <row r="58" spans="1:8" ht="15">
      <c r="A58" s="339">
        <v>56</v>
      </c>
      <c r="B58" s="140" t="s">
        <v>783</v>
      </c>
      <c r="C58" s="140"/>
      <c r="D58" s="141"/>
      <c r="E58" s="142" t="s">
        <v>262</v>
      </c>
      <c r="F58" s="142">
        <v>16</v>
      </c>
      <c r="G58" s="350">
        <v>7.34</v>
      </c>
      <c r="H58" s="265">
        <f t="shared" si="1"/>
        <v>117.44</v>
      </c>
    </row>
    <row r="59" spans="1:8" ht="15">
      <c r="A59" s="339">
        <v>57</v>
      </c>
      <c r="B59" s="140" t="s">
        <v>784</v>
      </c>
      <c r="C59" s="140"/>
      <c r="D59" s="141">
        <v>334448</v>
      </c>
      <c r="E59" s="142" t="s">
        <v>262</v>
      </c>
      <c r="F59" s="142">
        <v>6</v>
      </c>
      <c r="G59" s="350">
        <v>16.58</v>
      </c>
      <c r="H59" s="265">
        <f t="shared" si="1"/>
        <v>99.48</v>
      </c>
    </row>
    <row r="60" spans="1:8" ht="15">
      <c r="A60" s="339">
        <v>58</v>
      </c>
      <c r="B60" s="267" t="s">
        <v>785</v>
      </c>
      <c r="C60" s="267"/>
      <c r="D60" s="418">
        <v>404467</v>
      </c>
      <c r="E60" s="141" t="s">
        <v>264</v>
      </c>
      <c r="F60" s="141">
        <v>6</v>
      </c>
      <c r="G60" s="350">
        <v>13.77</v>
      </c>
      <c r="H60" s="268">
        <f t="shared" si="1"/>
        <v>82.62</v>
      </c>
    </row>
    <row r="61" spans="1:8" ht="15">
      <c r="A61" s="339">
        <v>59</v>
      </c>
      <c r="B61" s="140" t="s">
        <v>463</v>
      </c>
      <c r="C61" s="140"/>
      <c r="D61" s="141">
        <v>261317</v>
      </c>
      <c r="E61" s="142" t="s">
        <v>464</v>
      </c>
      <c r="F61" s="142">
        <v>6</v>
      </c>
      <c r="G61" s="350">
        <v>21.32</v>
      </c>
      <c r="H61" s="265">
        <f t="shared" si="1"/>
        <v>127.92</v>
      </c>
    </row>
    <row r="62" spans="1:8" ht="15">
      <c r="A62" s="339">
        <v>60</v>
      </c>
      <c r="B62" s="140" t="s">
        <v>474</v>
      </c>
      <c r="C62" s="140"/>
      <c r="D62" s="141">
        <v>467559</v>
      </c>
      <c r="E62" s="142" t="s">
        <v>262</v>
      </c>
      <c r="F62" s="142">
        <v>12</v>
      </c>
      <c r="G62" s="350">
        <v>8.68</v>
      </c>
      <c r="H62" s="265">
        <f t="shared" si="1"/>
        <v>104.16</v>
      </c>
    </row>
    <row r="63" spans="1:8" ht="15">
      <c r="A63" s="339">
        <v>61</v>
      </c>
      <c r="B63" s="140" t="s">
        <v>475</v>
      </c>
      <c r="C63" s="140"/>
      <c r="D63" s="141">
        <v>334347</v>
      </c>
      <c r="E63" s="142" t="s">
        <v>262</v>
      </c>
      <c r="F63" s="142">
        <v>12</v>
      </c>
      <c r="G63" s="350">
        <v>14.4</v>
      </c>
      <c r="H63" s="265">
        <f t="shared" si="1"/>
        <v>172.8</v>
      </c>
    </row>
    <row r="64" spans="1:8" ht="15">
      <c r="A64" s="714" t="s">
        <v>647</v>
      </c>
      <c r="B64" s="714"/>
      <c r="C64" s="714"/>
      <c r="D64" s="714"/>
      <c r="E64" s="714"/>
      <c r="F64" s="714"/>
      <c r="G64" s="714"/>
      <c r="H64" s="150">
        <f>SUM(H3:H63)</f>
        <v>22543.269999999997</v>
      </c>
    </row>
    <row r="65" spans="1:8" ht="15">
      <c r="A65" s="715" t="s">
        <v>457</v>
      </c>
      <c r="B65" s="715"/>
      <c r="C65" s="715"/>
      <c r="D65" s="715"/>
      <c r="E65" s="715"/>
      <c r="F65" s="715"/>
      <c r="G65" s="715"/>
      <c r="H65" s="149">
        <v>30</v>
      </c>
    </row>
    <row r="66" spans="1:8" ht="15">
      <c r="A66" s="715" t="s">
        <v>579</v>
      </c>
      <c r="B66" s="715"/>
      <c r="C66" s="715"/>
      <c r="D66" s="715"/>
      <c r="E66" s="715"/>
      <c r="F66" s="715"/>
      <c r="G66" s="715"/>
      <c r="H66" s="148">
        <f>H64/H65</f>
        <v>751.4423333333332</v>
      </c>
    </row>
    <row r="67" spans="1:8" ht="15">
      <c r="A67" s="715" t="s">
        <v>578</v>
      </c>
      <c r="B67" s="715"/>
      <c r="C67" s="715"/>
      <c r="D67" s="715"/>
      <c r="E67" s="715"/>
      <c r="F67" s="715"/>
      <c r="G67" s="715"/>
      <c r="H67" s="149">
        <v>3</v>
      </c>
    </row>
    <row r="68" spans="1:8" ht="15">
      <c r="A68" s="716" t="s">
        <v>581</v>
      </c>
      <c r="B68" s="716"/>
      <c r="C68" s="716"/>
      <c r="D68" s="716"/>
      <c r="E68" s="716"/>
      <c r="F68" s="716"/>
      <c r="G68" s="716"/>
      <c r="H68" s="184">
        <f>H66/H67</f>
        <v>250.48077777777772</v>
      </c>
    </row>
    <row r="69" spans="1:8" ht="15">
      <c r="A69" s="151"/>
      <c r="B69" s="151"/>
      <c r="C69" s="151"/>
      <c r="D69" s="151"/>
      <c r="E69" s="151"/>
      <c r="F69" s="151"/>
      <c r="G69" s="151"/>
      <c r="H69" s="152"/>
    </row>
    <row r="70" spans="1:8" ht="15">
      <c r="A70" s="713" t="s">
        <v>642</v>
      </c>
      <c r="B70" s="713"/>
      <c r="C70" s="713"/>
      <c r="D70" s="713"/>
      <c r="E70" s="713"/>
      <c r="F70" s="713"/>
      <c r="G70" s="713"/>
      <c r="H70" s="713"/>
    </row>
  </sheetData>
  <sheetProtection password="CC3A" sheet="1" formatCells="0"/>
  <mergeCells count="7">
    <mergeCell ref="A70:H70"/>
    <mergeCell ref="A1:H1"/>
    <mergeCell ref="A64:G64"/>
    <mergeCell ref="A65:G65"/>
    <mergeCell ref="A66:G66"/>
    <mergeCell ref="A67:G67"/>
    <mergeCell ref="A68:G68"/>
  </mergeCells>
  <printOptions/>
  <pageMargins left="0.5118110236220472" right="0.5118110236220472" top="0.7874015748031497" bottom="0.7874015748031497" header="0.31496062992125984" footer="0.31496062992125984"/>
  <pageSetup fitToHeight="0" fitToWidth="1" horizontalDpi="600" verticalDpi="600" orientation="portrait" paperSize="9" scale="60" r:id="rId1"/>
</worksheet>
</file>

<file path=xl/worksheets/sheet11.xml><?xml version="1.0" encoding="utf-8"?>
<worksheet xmlns="http://schemas.openxmlformats.org/spreadsheetml/2006/main" xmlns:r="http://schemas.openxmlformats.org/officeDocument/2006/relationships">
  <sheetPr>
    <pageSetUpPr fitToPage="1"/>
  </sheetPr>
  <dimension ref="A1:H152"/>
  <sheetViews>
    <sheetView showGridLines="0" view="pageBreakPreview" zoomScale="80" zoomScaleNormal="80" zoomScaleSheetLayoutView="80" zoomScalePageLayoutView="0" workbookViewId="0" topLeftCell="A1">
      <pane ySplit="1" topLeftCell="A146" activePane="bottomLeft" state="frozen"/>
      <selection pane="topLeft" activeCell="A1" sqref="A1"/>
      <selection pane="bottomLeft" activeCell="G16" sqref="G16"/>
    </sheetView>
  </sheetViews>
  <sheetFormatPr defaultColWidth="8.7109375" defaultRowHeight="15"/>
  <cols>
    <col min="1" max="1" width="8.7109375" style="110" customWidth="1"/>
    <col min="2" max="2" width="64.140625" style="291" customWidth="1"/>
    <col min="3" max="3" width="8.7109375" style="110" customWidth="1"/>
    <col min="4" max="4" width="9.8515625" style="110" customWidth="1"/>
    <col min="5" max="5" width="8.7109375" style="110" customWidth="1"/>
    <col min="6" max="6" width="12.421875" style="110" customWidth="1"/>
    <col min="7" max="7" width="14.00390625" style="110" customWidth="1"/>
    <col min="8" max="8" width="14.28125" style="110" customWidth="1"/>
    <col min="9" max="9" width="11.8515625" style="110" customWidth="1"/>
    <col min="10" max="16384" width="8.7109375" style="110" customWidth="1"/>
  </cols>
  <sheetData>
    <row r="1" spans="1:8" s="345" customFormat="1" ht="60">
      <c r="A1" s="153" t="s">
        <v>263</v>
      </c>
      <c r="B1" s="153" t="s">
        <v>495</v>
      </c>
      <c r="C1" s="153" t="s">
        <v>262</v>
      </c>
      <c r="D1" s="154" t="s">
        <v>275</v>
      </c>
      <c r="E1" s="154" t="s">
        <v>1134</v>
      </c>
      <c r="F1" s="154" t="s">
        <v>786</v>
      </c>
      <c r="G1" s="154" t="s">
        <v>305</v>
      </c>
      <c r="H1" s="154" t="s">
        <v>787</v>
      </c>
    </row>
    <row r="2" spans="1:8" ht="15">
      <c r="A2" s="160">
        <v>1</v>
      </c>
      <c r="B2" s="290" t="s">
        <v>788</v>
      </c>
      <c r="C2" s="160" t="s">
        <v>789</v>
      </c>
      <c r="D2" s="161">
        <v>468618</v>
      </c>
      <c r="E2" s="177">
        <v>4</v>
      </c>
      <c r="F2" s="177" t="s">
        <v>790</v>
      </c>
      <c r="G2" s="353">
        <v>211.08</v>
      </c>
      <c r="H2" s="289">
        <f aca="true" t="shared" si="0" ref="H2:H33">ROUND(E2*G2,2)</f>
        <v>844.32</v>
      </c>
    </row>
    <row r="3" spans="1:8" ht="15">
      <c r="A3" s="155">
        <v>2</v>
      </c>
      <c r="B3" s="143" t="s">
        <v>791</v>
      </c>
      <c r="C3" s="155" t="s">
        <v>789</v>
      </c>
      <c r="D3" s="156">
        <v>392089</v>
      </c>
      <c r="E3" s="174">
        <v>4</v>
      </c>
      <c r="F3" s="174"/>
      <c r="G3" s="354">
        <v>268.56</v>
      </c>
      <c r="H3" s="277">
        <f t="shared" si="0"/>
        <v>1074.24</v>
      </c>
    </row>
    <row r="4" spans="1:8" ht="15">
      <c r="A4" s="155">
        <v>3</v>
      </c>
      <c r="B4" s="143" t="s">
        <v>792</v>
      </c>
      <c r="C4" s="155" t="s">
        <v>789</v>
      </c>
      <c r="D4" s="156">
        <v>222424</v>
      </c>
      <c r="E4" s="174">
        <v>2</v>
      </c>
      <c r="F4" s="174" t="s">
        <v>790</v>
      </c>
      <c r="G4" s="354">
        <v>90.2</v>
      </c>
      <c r="H4" s="277">
        <f t="shared" si="0"/>
        <v>180.4</v>
      </c>
    </row>
    <row r="5" spans="1:8" s="280" customFormat="1" ht="15">
      <c r="A5" s="339">
        <v>4</v>
      </c>
      <c r="B5" s="140" t="s">
        <v>793</v>
      </c>
      <c r="C5" s="339" t="s">
        <v>789</v>
      </c>
      <c r="D5" s="278">
        <v>222424</v>
      </c>
      <c r="E5" s="419">
        <v>2</v>
      </c>
      <c r="F5" s="419"/>
      <c r="G5" s="355">
        <v>107.78</v>
      </c>
      <c r="H5" s="279">
        <f t="shared" si="0"/>
        <v>215.56</v>
      </c>
    </row>
    <row r="6" spans="1:8" ht="15">
      <c r="A6" s="155">
        <v>5</v>
      </c>
      <c r="B6" s="143" t="s">
        <v>794</v>
      </c>
      <c r="C6" s="155" t="s">
        <v>789</v>
      </c>
      <c r="D6" s="156">
        <v>222424</v>
      </c>
      <c r="E6" s="174">
        <v>4</v>
      </c>
      <c r="F6" s="174" t="s">
        <v>790</v>
      </c>
      <c r="G6" s="354">
        <v>34.38</v>
      </c>
      <c r="H6" s="277">
        <f t="shared" si="0"/>
        <v>137.52</v>
      </c>
    </row>
    <row r="7" spans="1:8" ht="15">
      <c r="A7" s="155">
        <v>6</v>
      </c>
      <c r="B7" s="143" t="s">
        <v>795</v>
      </c>
      <c r="C7" s="155" t="s">
        <v>789</v>
      </c>
      <c r="D7" s="156">
        <v>222424</v>
      </c>
      <c r="E7" s="174">
        <v>2</v>
      </c>
      <c r="F7" s="174"/>
      <c r="G7" s="354">
        <v>215.75</v>
      </c>
      <c r="H7" s="277">
        <f t="shared" si="0"/>
        <v>431.5</v>
      </c>
    </row>
    <row r="8" spans="1:8" ht="15">
      <c r="A8" s="155">
        <v>7</v>
      </c>
      <c r="B8" s="143" t="s">
        <v>796</v>
      </c>
      <c r="C8" s="155" t="s">
        <v>789</v>
      </c>
      <c r="D8" s="156">
        <v>222424</v>
      </c>
      <c r="E8" s="174">
        <v>2</v>
      </c>
      <c r="F8" s="174"/>
      <c r="G8" s="354">
        <v>291.57</v>
      </c>
      <c r="H8" s="277">
        <f t="shared" si="0"/>
        <v>583.14</v>
      </c>
    </row>
    <row r="9" spans="1:8" ht="15">
      <c r="A9" s="155">
        <v>8</v>
      </c>
      <c r="B9" s="143" t="s">
        <v>797</v>
      </c>
      <c r="C9" s="155" t="s">
        <v>789</v>
      </c>
      <c r="D9" s="156">
        <v>222424</v>
      </c>
      <c r="E9" s="174">
        <v>4</v>
      </c>
      <c r="F9" s="174"/>
      <c r="G9" s="354">
        <v>105.37</v>
      </c>
      <c r="H9" s="277">
        <f t="shared" si="0"/>
        <v>421.48</v>
      </c>
    </row>
    <row r="10" spans="1:8" ht="15">
      <c r="A10" s="155">
        <v>9</v>
      </c>
      <c r="B10" s="143" t="s">
        <v>798</v>
      </c>
      <c r="C10" s="155" t="s">
        <v>789</v>
      </c>
      <c r="D10" s="156">
        <v>222424</v>
      </c>
      <c r="E10" s="174">
        <v>4</v>
      </c>
      <c r="F10" s="174"/>
      <c r="G10" s="354">
        <v>123.93</v>
      </c>
      <c r="H10" s="277">
        <f t="shared" si="0"/>
        <v>495.72</v>
      </c>
    </row>
    <row r="11" spans="1:8" ht="15">
      <c r="A11" s="155">
        <v>10</v>
      </c>
      <c r="B11" s="143" t="s">
        <v>799</v>
      </c>
      <c r="C11" s="155" t="s">
        <v>789</v>
      </c>
      <c r="D11" s="156">
        <v>222424</v>
      </c>
      <c r="E11" s="174">
        <v>4</v>
      </c>
      <c r="F11" s="174"/>
      <c r="G11" s="354">
        <v>223</v>
      </c>
      <c r="H11" s="277">
        <f t="shared" si="0"/>
        <v>892</v>
      </c>
    </row>
    <row r="12" spans="1:8" ht="15">
      <c r="A12" s="155">
        <v>11</v>
      </c>
      <c r="B12" s="143" t="s">
        <v>800</v>
      </c>
      <c r="C12" s="155" t="s">
        <v>789</v>
      </c>
      <c r="D12" s="156">
        <v>222424</v>
      </c>
      <c r="E12" s="174">
        <v>2</v>
      </c>
      <c r="F12" s="174"/>
      <c r="G12" s="354">
        <v>1023.51</v>
      </c>
      <c r="H12" s="277">
        <f t="shared" si="0"/>
        <v>2047.02</v>
      </c>
    </row>
    <row r="13" spans="1:8" ht="15">
      <c r="A13" s="155">
        <v>12</v>
      </c>
      <c r="B13" s="143" t="s">
        <v>801</v>
      </c>
      <c r="C13" s="155" t="s">
        <v>789</v>
      </c>
      <c r="D13" s="156">
        <v>222424</v>
      </c>
      <c r="E13" s="174">
        <v>2</v>
      </c>
      <c r="F13" s="174"/>
      <c r="G13" s="354">
        <v>1086.7</v>
      </c>
      <c r="H13" s="277">
        <f t="shared" si="0"/>
        <v>2173.4</v>
      </c>
    </row>
    <row r="14" spans="1:8" s="280" customFormat="1" ht="15">
      <c r="A14" s="339">
        <v>13</v>
      </c>
      <c r="B14" s="140" t="s">
        <v>802</v>
      </c>
      <c r="C14" s="339" t="s">
        <v>789</v>
      </c>
      <c r="D14" s="278">
        <v>136760</v>
      </c>
      <c r="E14" s="419">
        <v>1</v>
      </c>
      <c r="F14" s="419"/>
      <c r="G14" s="355">
        <v>167.85</v>
      </c>
      <c r="H14" s="279">
        <f t="shared" si="0"/>
        <v>167.85</v>
      </c>
    </row>
    <row r="15" spans="1:8" ht="15">
      <c r="A15" s="155">
        <v>14</v>
      </c>
      <c r="B15" s="143" t="s">
        <v>803</v>
      </c>
      <c r="C15" s="155" t="s">
        <v>789</v>
      </c>
      <c r="D15" s="278">
        <v>136760</v>
      </c>
      <c r="E15" s="174">
        <v>1</v>
      </c>
      <c r="F15" s="174" t="s">
        <v>804</v>
      </c>
      <c r="G15" s="354">
        <v>132.08</v>
      </c>
      <c r="H15" s="277">
        <f t="shared" si="0"/>
        <v>132.08</v>
      </c>
    </row>
    <row r="16" spans="1:8" ht="25.5">
      <c r="A16" s="155">
        <v>15</v>
      </c>
      <c r="B16" s="143" t="s">
        <v>805</v>
      </c>
      <c r="C16" s="155" t="s">
        <v>806</v>
      </c>
      <c r="D16" s="278">
        <v>451980</v>
      </c>
      <c r="E16" s="174">
        <v>2</v>
      </c>
      <c r="F16" s="174"/>
      <c r="G16" s="354">
        <v>369.63</v>
      </c>
      <c r="H16" s="277">
        <f t="shared" si="0"/>
        <v>739.26</v>
      </c>
    </row>
    <row r="17" spans="1:8" ht="15">
      <c r="A17" s="155">
        <v>16</v>
      </c>
      <c r="B17" s="143" t="s">
        <v>807</v>
      </c>
      <c r="C17" s="155" t="s">
        <v>789</v>
      </c>
      <c r="D17" s="278">
        <v>111236</v>
      </c>
      <c r="E17" s="174">
        <v>1</v>
      </c>
      <c r="F17" s="174"/>
      <c r="G17" s="354">
        <v>713.11</v>
      </c>
      <c r="H17" s="277">
        <f t="shared" si="0"/>
        <v>713.11</v>
      </c>
    </row>
    <row r="18" spans="1:8" ht="15">
      <c r="A18" s="155">
        <v>17</v>
      </c>
      <c r="B18" s="143" t="s">
        <v>808</v>
      </c>
      <c r="C18" s="155" t="s">
        <v>789</v>
      </c>
      <c r="D18" s="278">
        <v>108316</v>
      </c>
      <c r="E18" s="174">
        <v>1</v>
      </c>
      <c r="F18" s="174" t="s">
        <v>809</v>
      </c>
      <c r="G18" s="354">
        <v>237.66</v>
      </c>
      <c r="H18" s="277">
        <f t="shared" si="0"/>
        <v>237.66</v>
      </c>
    </row>
    <row r="19" spans="1:8" ht="15">
      <c r="A19" s="155">
        <v>18</v>
      </c>
      <c r="B19" s="143" t="s">
        <v>810</v>
      </c>
      <c r="C19" s="155" t="s">
        <v>789</v>
      </c>
      <c r="D19" s="156">
        <v>0</v>
      </c>
      <c r="E19" s="174">
        <v>1</v>
      </c>
      <c r="F19" s="174"/>
      <c r="G19" s="354">
        <v>416.44</v>
      </c>
      <c r="H19" s="277">
        <f t="shared" si="0"/>
        <v>416.44</v>
      </c>
    </row>
    <row r="20" spans="1:8" ht="25.5">
      <c r="A20" s="155">
        <v>19</v>
      </c>
      <c r="B20" s="143" t="s">
        <v>811</v>
      </c>
      <c r="C20" s="155" t="s">
        <v>806</v>
      </c>
      <c r="D20" s="156">
        <v>449754</v>
      </c>
      <c r="E20" s="174">
        <v>1</v>
      </c>
      <c r="F20" s="174" t="s">
        <v>790</v>
      </c>
      <c r="G20" s="354">
        <v>1094.06</v>
      </c>
      <c r="H20" s="277">
        <f t="shared" si="0"/>
        <v>1094.06</v>
      </c>
    </row>
    <row r="21" spans="1:8" ht="44.25" customHeight="1">
      <c r="A21" s="155">
        <v>20</v>
      </c>
      <c r="B21" s="143" t="s">
        <v>496</v>
      </c>
      <c r="C21" s="155" t="s">
        <v>789</v>
      </c>
      <c r="D21" s="156">
        <v>354551</v>
      </c>
      <c r="E21" s="174">
        <v>2</v>
      </c>
      <c r="F21" s="174" t="s">
        <v>812</v>
      </c>
      <c r="G21" s="354">
        <v>45.11</v>
      </c>
      <c r="H21" s="277">
        <f t="shared" si="0"/>
        <v>90.22</v>
      </c>
    </row>
    <row r="22" spans="1:8" ht="51">
      <c r="A22" s="155">
        <v>21</v>
      </c>
      <c r="B22" s="143" t="s">
        <v>497</v>
      </c>
      <c r="C22" s="155" t="s">
        <v>789</v>
      </c>
      <c r="D22" s="156">
        <v>235471</v>
      </c>
      <c r="E22" s="174">
        <v>2</v>
      </c>
      <c r="F22" s="174" t="s">
        <v>813</v>
      </c>
      <c r="G22" s="354">
        <v>117.55</v>
      </c>
      <c r="H22" s="277">
        <f t="shared" si="0"/>
        <v>235.1</v>
      </c>
    </row>
    <row r="23" spans="1:8" ht="15">
      <c r="A23" s="155">
        <v>22</v>
      </c>
      <c r="B23" s="143" t="s">
        <v>814</v>
      </c>
      <c r="C23" s="155" t="s">
        <v>789</v>
      </c>
      <c r="D23" s="156">
        <v>457831</v>
      </c>
      <c r="E23" s="174">
        <v>2</v>
      </c>
      <c r="F23" s="174" t="s">
        <v>815</v>
      </c>
      <c r="G23" s="354">
        <v>155.56</v>
      </c>
      <c r="H23" s="277">
        <f t="shared" si="0"/>
        <v>311.12</v>
      </c>
    </row>
    <row r="24" spans="1:8" ht="38.25">
      <c r="A24" s="155">
        <v>23</v>
      </c>
      <c r="B24" s="143" t="s">
        <v>816</v>
      </c>
      <c r="C24" s="155" t="s">
        <v>789</v>
      </c>
      <c r="D24" s="156">
        <v>253348</v>
      </c>
      <c r="E24" s="174">
        <v>2</v>
      </c>
      <c r="F24" s="174" t="s">
        <v>815</v>
      </c>
      <c r="G24" s="354">
        <v>67.06</v>
      </c>
      <c r="H24" s="277">
        <f t="shared" si="0"/>
        <v>134.12</v>
      </c>
    </row>
    <row r="25" spans="1:8" ht="38.25">
      <c r="A25" s="155">
        <v>24</v>
      </c>
      <c r="B25" s="143" t="s">
        <v>498</v>
      </c>
      <c r="C25" s="155" t="s">
        <v>789</v>
      </c>
      <c r="D25" s="156">
        <v>288117</v>
      </c>
      <c r="E25" s="174">
        <v>2</v>
      </c>
      <c r="F25" s="174" t="s">
        <v>815</v>
      </c>
      <c r="G25" s="354">
        <v>84.47</v>
      </c>
      <c r="H25" s="277">
        <f t="shared" si="0"/>
        <v>168.94</v>
      </c>
    </row>
    <row r="26" spans="1:8" ht="15">
      <c r="A26" s="155">
        <v>25</v>
      </c>
      <c r="B26" s="143" t="s">
        <v>817</v>
      </c>
      <c r="C26" s="155" t="s">
        <v>789</v>
      </c>
      <c r="D26" s="156">
        <v>445372</v>
      </c>
      <c r="E26" s="174">
        <v>1</v>
      </c>
      <c r="F26" s="174" t="s">
        <v>813</v>
      </c>
      <c r="G26" s="354">
        <v>109.08</v>
      </c>
      <c r="H26" s="277">
        <f t="shared" si="0"/>
        <v>109.08</v>
      </c>
    </row>
    <row r="27" spans="1:8" ht="15">
      <c r="A27" s="155">
        <v>26</v>
      </c>
      <c r="B27" s="143" t="s">
        <v>499</v>
      </c>
      <c r="C27" s="155" t="s">
        <v>789</v>
      </c>
      <c r="D27" s="156">
        <v>445372</v>
      </c>
      <c r="E27" s="174">
        <v>3</v>
      </c>
      <c r="F27" s="174" t="s">
        <v>813</v>
      </c>
      <c r="G27" s="354">
        <v>81.82</v>
      </c>
      <c r="H27" s="277">
        <f t="shared" si="0"/>
        <v>245.46</v>
      </c>
    </row>
    <row r="28" spans="1:8" ht="38.25">
      <c r="A28" s="155">
        <v>27</v>
      </c>
      <c r="B28" s="143" t="s">
        <v>500</v>
      </c>
      <c r="C28" s="155" t="s">
        <v>789</v>
      </c>
      <c r="D28" s="156">
        <v>311040</v>
      </c>
      <c r="E28" s="174">
        <v>2</v>
      </c>
      <c r="F28" s="174" t="s">
        <v>818</v>
      </c>
      <c r="G28" s="354">
        <v>49.9</v>
      </c>
      <c r="H28" s="277">
        <f t="shared" si="0"/>
        <v>99.8</v>
      </c>
    </row>
    <row r="29" spans="1:8" ht="38.25">
      <c r="A29" s="155">
        <v>28</v>
      </c>
      <c r="B29" s="143" t="s">
        <v>501</v>
      </c>
      <c r="C29" s="155" t="s">
        <v>789</v>
      </c>
      <c r="D29" s="156">
        <v>393226</v>
      </c>
      <c r="E29" s="174">
        <v>3</v>
      </c>
      <c r="F29" s="174" t="s">
        <v>804</v>
      </c>
      <c r="G29" s="354">
        <v>161.83</v>
      </c>
      <c r="H29" s="277">
        <f t="shared" si="0"/>
        <v>485.49</v>
      </c>
    </row>
    <row r="30" spans="1:8" ht="38.25">
      <c r="A30" s="155">
        <v>29</v>
      </c>
      <c r="B30" s="143" t="s">
        <v>819</v>
      </c>
      <c r="C30" s="155" t="s">
        <v>789</v>
      </c>
      <c r="D30" s="156">
        <v>465868</v>
      </c>
      <c r="E30" s="174">
        <v>4</v>
      </c>
      <c r="F30" s="174" t="s">
        <v>759</v>
      </c>
      <c r="G30" s="354">
        <v>14.23</v>
      </c>
      <c r="H30" s="277">
        <f t="shared" si="0"/>
        <v>56.92</v>
      </c>
    </row>
    <row r="31" spans="1:8" ht="51">
      <c r="A31" s="155">
        <v>30</v>
      </c>
      <c r="B31" s="143" t="s">
        <v>502</v>
      </c>
      <c r="C31" s="155" t="s">
        <v>789</v>
      </c>
      <c r="D31" s="156">
        <v>328973</v>
      </c>
      <c r="E31" s="174">
        <v>4</v>
      </c>
      <c r="F31" s="174" t="s">
        <v>759</v>
      </c>
      <c r="G31" s="354">
        <v>10.09</v>
      </c>
      <c r="H31" s="277">
        <f t="shared" si="0"/>
        <v>40.36</v>
      </c>
    </row>
    <row r="32" spans="1:8" ht="25.5">
      <c r="A32" s="155">
        <v>31</v>
      </c>
      <c r="B32" s="143" t="s">
        <v>820</v>
      </c>
      <c r="C32" s="155" t="s">
        <v>789</v>
      </c>
      <c r="D32" s="156">
        <v>251216</v>
      </c>
      <c r="E32" s="174">
        <v>1</v>
      </c>
      <c r="F32" s="174" t="s">
        <v>821</v>
      </c>
      <c r="G32" s="354">
        <v>3852.25</v>
      </c>
      <c r="H32" s="277">
        <f t="shared" si="0"/>
        <v>3852.25</v>
      </c>
    </row>
    <row r="33" spans="1:8" ht="25.5">
      <c r="A33" s="155">
        <v>32</v>
      </c>
      <c r="B33" s="282" t="s">
        <v>503</v>
      </c>
      <c r="C33" s="155" t="s">
        <v>789</v>
      </c>
      <c r="D33" s="157">
        <v>468625</v>
      </c>
      <c r="E33" s="175">
        <v>1</v>
      </c>
      <c r="F33" s="175" t="s">
        <v>822</v>
      </c>
      <c r="G33" s="354">
        <v>229.97</v>
      </c>
      <c r="H33" s="277">
        <f t="shared" si="0"/>
        <v>229.97</v>
      </c>
    </row>
    <row r="34" spans="1:8" ht="38.25">
      <c r="A34" s="155">
        <v>33</v>
      </c>
      <c r="B34" s="143" t="s">
        <v>823</v>
      </c>
      <c r="C34" s="155" t="s">
        <v>789</v>
      </c>
      <c r="D34" s="156">
        <v>486505</v>
      </c>
      <c r="E34" s="174">
        <v>1</v>
      </c>
      <c r="F34" s="174" t="s">
        <v>822</v>
      </c>
      <c r="G34" s="354">
        <v>102.1</v>
      </c>
      <c r="H34" s="277">
        <f aca="true" t="shared" si="1" ref="H34:H65">ROUND(E34*G34,2)</f>
        <v>102.1</v>
      </c>
    </row>
    <row r="35" spans="1:8" ht="15">
      <c r="A35" s="155">
        <v>34</v>
      </c>
      <c r="B35" s="143" t="s">
        <v>504</v>
      </c>
      <c r="C35" s="155" t="s">
        <v>789</v>
      </c>
      <c r="D35" s="156">
        <v>439260</v>
      </c>
      <c r="E35" s="174">
        <v>2</v>
      </c>
      <c r="F35" s="174"/>
      <c r="G35" s="354">
        <v>38.23</v>
      </c>
      <c r="H35" s="277">
        <f t="shared" si="1"/>
        <v>76.46</v>
      </c>
    </row>
    <row r="36" spans="1:8" ht="15">
      <c r="A36" s="155">
        <v>35</v>
      </c>
      <c r="B36" s="143" t="s">
        <v>553</v>
      </c>
      <c r="C36" s="155" t="s">
        <v>789</v>
      </c>
      <c r="D36" s="156">
        <v>377429</v>
      </c>
      <c r="E36" s="174">
        <v>2</v>
      </c>
      <c r="F36" s="174" t="s">
        <v>824</v>
      </c>
      <c r="G36" s="354">
        <v>92.14</v>
      </c>
      <c r="H36" s="277">
        <f t="shared" si="1"/>
        <v>184.28</v>
      </c>
    </row>
    <row r="37" spans="1:8" ht="15">
      <c r="A37" s="155">
        <v>36</v>
      </c>
      <c r="B37" s="143" t="s">
        <v>554</v>
      </c>
      <c r="C37" s="155" t="s">
        <v>789</v>
      </c>
      <c r="D37" s="156">
        <v>377432</v>
      </c>
      <c r="E37" s="174">
        <v>2</v>
      </c>
      <c r="F37" s="174" t="s">
        <v>824</v>
      </c>
      <c r="G37" s="354">
        <v>243.13</v>
      </c>
      <c r="H37" s="277">
        <f t="shared" si="1"/>
        <v>486.26</v>
      </c>
    </row>
    <row r="38" spans="1:8" ht="15">
      <c r="A38" s="155">
        <v>37</v>
      </c>
      <c r="B38" s="143" t="s">
        <v>555</v>
      </c>
      <c r="C38" s="155" t="s">
        <v>789</v>
      </c>
      <c r="D38" s="156">
        <v>329406</v>
      </c>
      <c r="E38" s="174">
        <v>2</v>
      </c>
      <c r="F38" s="174" t="s">
        <v>824</v>
      </c>
      <c r="G38" s="354">
        <v>62.89</v>
      </c>
      <c r="H38" s="277">
        <f t="shared" si="1"/>
        <v>125.78</v>
      </c>
    </row>
    <row r="39" spans="1:8" ht="15">
      <c r="A39" s="155">
        <v>38</v>
      </c>
      <c r="B39" s="143" t="s">
        <v>545</v>
      </c>
      <c r="C39" s="155" t="s">
        <v>789</v>
      </c>
      <c r="D39" s="156">
        <v>324763</v>
      </c>
      <c r="E39" s="174">
        <v>2</v>
      </c>
      <c r="F39" s="174" t="s">
        <v>824</v>
      </c>
      <c r="G39" s="354">
        <v>129.05</v>
      </c>
      <c r="H39" s="277">
        <f t="shared" si="1"/>
        <v>258.1</v>
      </c>
    </row>
    <row r="40" spans="1:8" ht="15">
      <c r="A40" s="155">
        <v>39</v>
      </c>
      <c r="B40" s="143" t="s">
        <v>825</v>
      </c>
      <c r="C40" s="155" t="s">
        <v>789</v>
      </c>
      <c r="D40" s="156">
        <v>238629</v>
      </c>
      <c r="E40" s="174">
        <v>3</v>
      </c>
      <c r="F40" s="174" t="s">
        <v>826</v>
      </c>
      <c r="G40" s="354">
        <v>32.79</v>
      </c>
      <c r="H40" s="277">
        <f t="shared" si="1"/>
        <v>98.37</v>
      </c>
    </row>
    <row r="41" spans="1:8" ht="38.25">
      <c r="A41" s="155">
        <v>40</v>
      </c>
      <c r="B41" s="143" t="s">
        <v>507</v>
      </c>
      <c r="C41" s="155" t="s">
        <v>789</v>
      </c>
      <c r="D41" s="156">
        <v>388031</v>
      </c>
      <c r="E41" s="174">
        <v>3</v>
      </c>
      <c r="F41" s="174" t="s">
        <v>826</v>
      </c>
      <c r="G41" s="354">
        <v>22.11</v>
      </c>
      <c r="H41" s="277">
        <f t="shared" si="1"/>
        <v>66.33</v>
      </c>
    </row>
    <row r="42" spans="1:8" ht="51">
      <c r="A42" s="155">
        <v>41</v>
      </c>
      <c r="B42" s="143" t="s">
        <v>515</v>
      </c>
      <c r="C42" s="155" t="s">
        <v>789</v>
      </c>
      <c r="D42" s="156">
        <v>389055</v>
      </c>
      <c r="E42" s="174">
        <v>4</v>
      </c>
      <c r="F42" s="174" t="s">
        <v>826</v>
      </c>
      <c r="G42" s="354">
        <v>15.54</v>
      </c>
      <c r="H42" s="277">
        <f t="shared" si="1"/>
        <v>62.16</v>
      </c>
    </row>
    <row r="43" spans="1:8" ht="51">
      <c r="A43" s="155">
        <v>42</v>
      </c>
      <c r="B43" s="143" t="s">
        <v>505</v>
      </c>
      <c r="C43" s="155" t="s">
        <v>789</v>
      </c>
      <c r="D43" s="156">
        <v>331035</v>
      </c>
      <c r="E43" s="174">
        <v>3</v>
      </c>
      <c r="F43" s="174" t="s">
        <v>826</v>
      </c>
      <c r="G43" s="354">
        <v>12.77</v>
      </c>
      <c r="H43" s="277">
        <f t="shared" si="1"/>
        <v>38.31</v>
      </c>
    </row>
    <row r="44" spans="1:8" ht="51">
      <c r="A44" s="155">
        <v>43</v>
      </c>
      <c r="B44" s="143" t="s">
        <v>506</v>
      </c>
      <c r="C44" s="155" t="s">
        <v>789</v>
      </c>
      <c r="D44" s="156">
        <v>360123</v>
      </c>
      <c r="E44" s="174">
        <v>3</v>
      </c>
      <c r="F44" s="174" t="s">
        <v>826</v>
      </c>
      <c r="G44" s="354">
        <v>13.92</v>
      </c>
      <c r="H44" s="277">
        <f t="shared" si="1"/>
        <v>41.76</v>
      </c>
    </row>
    <row r="45" spans="1:8" ht="51">
      <c r="A45" s="155">
        <v>44</v>
      </c>
      <c r="B45" s="143" t="s">
        <v>508</v>
      </c>
      <c r="C45" s="155" t="s">
        <v>789</v>
      </c>
      <c r="D45" s="156">
        <v>360121</v>
      </c>
      <c r="E45" s="174">
        <v>3</v>
      </c>
      <c r="F45" s="174" t="s">
        <v>826</v>
      </c>
      <c r="G45" s="354">
        <v>19.91</v>
      </c>
      <c r="H45" s="277">
        <f t="shared" si="1"/>
        <v>59.73</v>
      </c>
    </row>
    <row r="46" spans="1:8" ht="25.5">
      <c r="A46" s="155">
        <v>45</v>
      </c>
      <c r="B46" s="143" t="s">
        <v>509</v>
      </c>
      <c r="C46" s="155" t="s">
        <v>789</v>
      </c>
      <c r="D46" s="156">
        <v>238635</v>
      </c>
      <c r="E46" s="174">
        <v>3</v>
      </c>
      <c r="F46" s="174" t="s">
        <v>826</v>
      </c>
      <c r="G46" s="354">
        <v>20.25</v>
      </c>
      <c r="H46" s="277">
        <f t="shared" si="1"/>
        <v>60.75</v>
      </c>
    </row>
    <row r="47" spans="1:8" ht="25.5">
      <c r="A47" s="155">
        <v>46</v>
      </c>
      <c r="B47" s="143" t="s">
        <v>510</v>
      </c>
      <c r="C47" s="155" t="s">
        <v>789</v>
      </c>
      <c r="D47" s="156">
        <v>236970</v>
      </c>
      <c r="E47" s="174">
        <v>3</v>
      </c>
      <c r="F47" s="174" t="s">
        <v>826</v>
      </c>
      <c r="G47" s="354">
        <v>13.17</v>
      </c>
      <c r="H47" s="277">
        <f t="shared" si="1"/>
        <v>39.51</v>
      </c>
    </row>
    <row r="48" spans="1:8" ht="25.5">
      <c r="A48" s="155">
        <v>47</v>
      </c>
      <c r="B48" s="143" t="s">
        <v>511</v>
      </c>
      <c r="C48" s="155" t="s">
        <v>789</v>
      </c>
      <c r="D48" s="156">
        <v>236968</v>
      </c>
      <c r="E48" s="174">
        <v>3</v>
      </c>
      <c r="F48" s="174" t="s">
        <v>826</v>
      </c>
      <c r="G48" s="354">
        <v>17.8</v>
      </c>
      <c r="H48" s="277">
        <f t="shared" si="1"/>
        <v>53.4</v>
      </c>
    </row>
    <row r="49" spans="1:8" ht="15">
      <c r="A49" s="155">
        <v>48</v>
      </c>
      <c r="B49" s="143" t="s">
        <v>827</v>
      </c>
      <c r="C49" s="155" t="s">
        <v>789</v>
      </c>
      <c r="D49" s="156">
        <v>67121</v>
      </c>
      <c r="E49" s="174">
        <v>2</v>
      </c>
      <c r="F49" s="174" t="s">
        <v>824</v>
      </c>
      <c r="G49" s="354">
        <v>2503.93</v>
      </c>
      <c r="H49" s="277">
        <f t="shared" si="1"/>
        <v>5007.86</v>
      </c>
    </row>
    <row r="50" spans="1:8" ht="15">
      <c r="A50" s="155">
        <v>49</v>
      </c>
      <c r="B50" s="143" t="s">
        <v>828</v>
      </c>
      <c r="C50" s="155" t="s">
        <v>789</v>
      </c>
      <c r="D50" s="156">
        <v>474815</v>
      </c>
      <c r="E50" s="174">
        <v>1</v>
      </c>
      <c r="F50" s="174" t="s">
        <v>829</v>
      </c>
      <c r="G50" s="354">
        <v>152.63</v>
      </c>
      <c r="H50" s="277">
        <f t="shared" si="1"/>
        <v>152.63</v>
      </c>
    </row>
    <row r="51" spans="1:8" ht="15">
      <c r="A51" s="155">
        <v>50</v>
      </c>
      <c r="B51" s="143" t="s">
        <v>556</v>
      </c>
      <c r="C51" s="155" t="s">
        <v>789</v>
      </c>
      <c r="D51" s="156">
        <v>375979</v>
      </c>
      <c r="E51" s="174">
        <v>1</v>
      </c>
      <c r="F51" s="174" t="s">
        <v>824</v>
      </c>
      <c r="G51" s="354">
        <v>46.07</v>
      </c>
      <c r="H51" s="277">
        <f t="shared" si="1"/>
        <v>46.07</v>
      </c>
    </row>
    <row r="52" spans="1:8" ht="15">
      <c r="A52" s="155">
        <v>51</v>
      </c>
      <c r="B52" s="143" t="s">
        <v>557</v>
      </c>
      <c r="C52" s="155" t="s">
        <v>789</v>
      </c>
      <c r="D52" s="155">
        <v>409621</v>
      </c>
      <c r="E52" s="174">
        <v>1</v>
      </c>
      <c r="F52" s="174" t="s">
        <v>824</v>
      </c>
      <c r="G52" s="354">
        <v>55.05</v>
      </c>
      <c r="H52" s="277">
        <f t="shared" si="1"/>
        <v>55.05</v>
      </c>
    </row>
    <row r="53" spans="1:8" ht="15">
      <c r="A53" s="155">
        <v>52</v>
      </c>
      <c r="B53" s="143" t="s">
        <v>558</v>
      </c>
      <c r="C53" s="155" t="s">
        <v>789</v>
      </c>
      <c r="D53" s="155">
        <v>386810</v>
      </c>
      <c r="E53" s="174">
        <v>1</v>
      </c>
      <c r="F53" s="174" t="s">
        <v>824</v>
      </c>
      <c r="G53" s="354">
        <v>91.25</v>
      </c>
      <c r="H53" s="277">
        <f t="shared" si="1"/>
        <v>91.25</v>
      </c>
    </row>
    <row r="54" spans="1:8" ht="15">
      <c r="A54" s="155">
        <v>53</v>
      </c>
      <c r="B54" s="143" t="s">
        <v>559</v>
      </c>
      <c r="C54" s="155" t="s">
        <v>789</v>
      </c>
      <c r="D54" s="158">
        <v>386812</v>
      </c>
      <c r="E54" s="174">
        <v>1</v>
      </c>
      <c r="F54" s="174" t="s">
        <v>824</v>
      </c>
      <c r="G54" s="354">
        <v>126.19</v>
      </c>
      <c r="H54" s="277">
        <f t="shared" si="1"/>
        <v>126.19</v>
      </c>
    </row>
    <row r="55" spans="1:8" ht="15">
      <c r="A55" s="155">
        <v>54</v>
      </c>
      <c r="B55" s="143" t="s">
        <v>560</v>
      </c>
      <c r="C55" s="155" t="s">
        <v>789</v>
      </c>
      <c r="D55" s="156">
        <v>424025</v>
      </c>
      <c r="E55" s="174">
        <v>1</v>
      </c>
      <c r="F55" s="174" t="s">
        <v>824</v>
      </c>
      <c r="G55" s="354">
        <v>199.8</v>
      </c>
      <c r="H55" s="277">
        <f t="shared" si="1"/>
        <v>199.8</v>
      </c>
    </row>
    <row r="56" spans="1:8" ht="15">
      <c r="A56" s="155">
        <v>55</v>
      </c>
      <c r="B56" s="143" t="s">
        <v>561</v>
      </c>
      <c r="C56" s="155" t="s">
        <v>789</v>
      </c>
      <c r="D56" s="156">
        <v>272542</v>
      </c>
      <c r="E56" s="174">
        <v>1</v>
      </c>
      <c r="F56" s="174" t="s">
        <v>824</v>
      </c>
      <c r="G56" s="354">
        <v>357.41</v>
      </c>
      <c r="H56" s="277">
        <f t="shared" si="1"/>
        <v>357.41</v>
      </c>
    </row>
    <row r="57" spans="1:8" ht="38.25">
      <c r="A57" s="155">
        <v>56</v>
      </c>
      <c r="B57" s="143" t="s">
        <v>516</v>
      </c>
      <c r="C57" s="155" t="s">
        <v>789</v>
      </c>
      <c r="D57" s="156">
        <v>6734</v>
      </c>
      <c r="E57" s="175">
        <v>3</v>
      </c>
      <c r="F57" s="175"/>
      <c r="G57" s="354">
        <v>43.83</v>
      </c>
      <c r="H57" s="277">
        <f t="shared" si="1"/>
        <v>131.49</v>
      </c>
    </row>
    <row r="58" spans="1:8" ht="15">
      <c r="A58" s="155">
        <v>57</v>
      </c>
      <c r="B58" s="143" t="s">
        <v>562</v>
      </c>
      <c r="C58" s="155" t="s">
        <v>789</v>
      </c>
      <c r="D58" s="156">
        <v>286357</v>
      </c>
      <c r="E58" s="174">
        <v>3</v>
      </c>
      <c r="F58" s="174" t="s">
        <v>809</v>
      </c>
      <c r="G58" s="354">
        <v>229.13</v>
      </c>
      <c r="H58" s="277">
        <f t="shared" si="1"/>
        <v>687.39</v>
      </c>
    </row>
    <row r="59" spans="1:8" ht="25.5">
      <c r="A59" s="155">
        <v>58</v>
      </c>
      <c r="B59" s="143" t="s">
        <v>517</v>
      </c>
      <c r="C59" s="155" t="s">
        <v>789</v>
      </c>
      <c r="D59" s="156">
        <v>423357</v>
      </c>
      <c r="E59" s="174">
        <v>2</v>
      </c>
      <c r="F59" s="174" t="s">
        <v>830</v>
      </c>
      <c r="G59" s="354">
        <v>44.23</v>
      </c>
      <c r="H59" s="277">
        <f t="shared" si="1"/>
        <v>88.46</v>
      </c>
    </row>
    <row r="60" spans="1:8" ht="38.25">
      <c r="A60" s="155">
        <v>59</v>
      </c>
      <c r="B60" s="143" t="s">
        <v>518</v>
      </c>
      <c r="C60" s="155" t="s">
        <v>789</v>
      </c>
      <c r="D60" s="156">
        <v>370238</v>
      </c>
      <c r="E60" s="174">
        <v>1</v>
      </c>
      <c r="F60" s="174" t="s">
        <v>830</v>
      </c>
      <c r="G60" s="354">
        <v>40.39</v>
      </c>
      <c r="H60" s="277">
        <f t="shared" si="1"/>
        <v>40.39</v>
      </c>
    </row>
    <row r="61" spans="1:8" ht="25.5">
      <c r="A61" s="155">
        <v>60</v>
      </c>
      <c r="B61" s="143" t="s">
        <v>831</v>
      </c>
      <c r="C61" s="155" t="s">
        <v>789</v>
      </c>
      <c r="D61" s="156">
        <v>271270</v>
      </c>
      <c r="E61" s="174">
        <v>2</v>
      </c>
      <c r="F61" s="174" t="s">
        <v>824</v>
      </c>
      <c r="G61" s="354">
        <v>428.67</v>
      </c>
      <c r="H61" s="277">
        <f t="shared" si="1"/>
        <v>857.34</v>
      </c>
    </row>
    <row r="62" spans="1:8" ht="51">
      <c r="A62" s="155">
        <v>61</v>
      </c>
      <c r="B62" s="143" t="s">
        <v>832</v>
      </c>
      <c r="C62" s="155" t="s">
        <v>316</v>
      </c>
      <c r="D62" s="158" t="s">
        <v>550</v>
      </c>
      <c r="E62" s="174">
        <v>10</v>
      </c>
      <c r="F62" s="174"/>
      <c r="G62" s="354">
        <v>8.1</v>
      </c>
      <c r="H62" s="277">
        <f t="shared" si="1"/>
        <v>81</v>
      </c>
    </row>
    <row r="63" spans="1:8" ht="51">
      <c r="A63" s="155">
        <v>62</v>
      </c>
      <c r="B63" s="143" t="s">
        <v>833</v>
      </c>
      <c r="C63" s="155" t="s">
        <v>789</v>
      </c>
      <c r="D63" s="156">
        <v>371966</v>
      </c>
      <c r="E63" s="174">
        <v>2</v>
      </c>
      <c r="F63" s="174" t="s">
        <v>824</v>
      </c>
      <c r="G63" s="354">
        <v>401.52</v>
      </c>
      <c r="H63" s="277">
        <f t="shared" si="1"/>
        <v>803.04</v>
      </c>
    </row>
    <row r="64" spans="1:8" ht="38.25">
      <c r="A64" s="155">
        <v>63</v>
      </c>
      <c r="B64" s="143" t="s">
        <v>834</v>
      </c>
      <c r="C64" s="155" t="s">
        <v>789</v>
      </c>
      <c r="D64" s="156">
        <v>288119</v>
      </c>
      <c r="E64" s="174">
        <v>2</v>
      </c>
      <c r="F64" s="174" t="s">
        <v>835</v>
      </c>
      <c r="G64" s="354">
        <v>15.9</v>
      </c>
      <c r="H64" s="277">
        <f t="shared" si="1"/>
        <v>31.8</v>
      </c>
    </row>
    <row r="65" spans="1:8" ht="15">
      <c r="A65" s="155">
        <v>64</v>
      </c>
      <c r="B65" s="143" t="s">
        <v>563</v>
      </c>
      <c r="C65" s="155" t="s">
        <v>789</v>
      </c>
      <c r="D65" s="156">
        <v>296200</v>
      </c>
      <c r="E65" s="174">
        <v>2</v>
      </c>
      <c r="F65" s="174" t="s">
        <v>835</v>
      </c>
      <c r="G65" s="354">
        <v>15.9</v>
      </c>
      <c r="H65" s="277">
        <f t="shared" si="1"/>
        <v>31.8</v>
      </c>
    </row>
    <row r="66" spans="1:8" ht="15">
      <c r="A66" s="155">
        <v>65</v>
      </c>
      <c r="B66" s="143" t="s">
        <v>564</v>
      </c>
      <c r="C66" s="155" t="s">
        <v>789</v>
      </c>
      <c r="D66" s="156">
        <v>448856</v>
      </c>
      <c r="E66" s="174">
        <v>2</v>
      </c>
      <c r="F66" s="174" t="s">
        <v>835</v>
      </c>
      <c r="G66" s="354">
        <v>21.62</v>
      </c>
      <c r="H66" s="277">
        <f aca="true" t="shared" si="2" ref="H66:H97">ROUND(E66*G66,2)</f>
        <v>43.24</v>
      </c>
    </row>
    <row r="67" spans="1:8" ht="15">
      <c r="A67" s="155">
        <v>66</v>
      </c>
      <c r="B67" s="143" t="s">
        <v>565</v>
      </c>
      <c r="C67" s="155" t="s">
        <v>789</v>
      </c>
      <c r="D67" s="156">
        <v>436485</v>
      </c>
      <c r="E67" s="174">
        <v>3</v>
      </c>
      <c r="F67" s="174" t="s">
        <v>835</v>
      </c>
      <c r="G67" s="354">
        <v>13.79</v>
      </c>
      <c r="H67" s="277">
        <f t="shared" si="2"/>
        <v>41.37</v>
      </c>
    </row>
    <row r="68" spans="1:8" ht="15">
      <c r="A68" s="155">
        <v>67</v>
      </c>
      <c r="B68" s="143" t="s">
        <v>567</v>
      </c>
      <c r="C68" s="155" t="s">
        <v>789</v>
      </c>
      <c r="D68" s="156">
        <v>446101</v>
      </c>
      <c r="E68" s="174">
        <v>3</v>
      </c>
      <c r="F68" s="174" t="s">
        <v>836</v>
      </c>
      <c r="G68" s="354">
        <v>22.45</v>
      </c>
      <c r="H68" s="277">
        <f t="shared" si="2"/>
        <v>67.35</v>
      </c>
    </row>
    <row r="69" spans="1:8" ht="25.5">
      <c r="A69" s="155">
        <v>68</v>
      </c>
      <c r="B69" s="143" t="s">
        <v>837</v>
      </c>
      <c r="C69" s="155" t="s">
        <v>789</v>
      </c>
      <c r="D69" s="156">
        <v>468616</v>
      </c>
      <c r="E69" s="174">
        <v>1</v>
      </c>
      <c r="F69" s="174" t="s">
        <v>822</v>
      </c>
      <c r="G69" s="354">
        <v>67.11</v>
      </c>
      <c r="H69" s="277">
        <f t="shared" si="2"/>
        <v>67.11</v>
      </c>
    </row>
    <row r="70" spans="1:8" ht="25.5">
      <c r="A70" s="155">
        <v>69</v>
      </c>
      <c r="B70" s="143" t="s">
        <v>838</v>
      </c>
      <c r="C70" s="155" t="s">
        <v>789</v>
      </c>
      <c r="D70" s="156">
        <v>418327</v>
      </c>
      <c r="E70" s="174">
        <v>2</v>
      </c>
      <c r="F70" s="174"/>
      <c r="G70" s="354">
        <v>599.08</v>
      </c>
      <c r="H70" s="277">
        <f t="shared" si="2"/>
        <v>1198.16</v>
      </c>
    </row>
    <row r="71" spans="1:8" ht="38.25">
      <c r="A71" s="155">
        <v>70</v>
      </c>
      <c r="B71" s="143" t="s">
        <v>839</v>
      </c>
      <c r="C71" s="155" t="s">
        <v>789</v>
      </c>
      <c r="D71" s="156">
        <v>326738</v>
      </c>
      <c r="E71" s="174">
        <v>1</v>
      </c>
      <c r="F71" s="174"/>
      <c r="G71" s="354">
        <v>491.6</v>
      </c>
      <c r="H71" s="277">
        <f t="shared" si="2"/>
        <v>491.6</v>
      </c>
    </row>
    <row r="72" spans="1:8" ht="51">
      <c r="A72" s="155">
        <v>71</v>
      </c>
      <c r="B72" s="143" t="s">
        <v>549</v>
      </c>
      <c r="C72" s="155" t="s">
        <v>789</v>
      </c>
      <c r="D72" s="156">
        <v>235600</v>
      </c>
      <c r="E72" s="174">
        <v>1</v>
      </c>
      <c r="F72" s="174"/>
      <c r="G72" s="354">
        <v>1347.74</v>
      </c>
      <c r="H72" s="277">
        <f t="shared" si="2"/>
        <v>1347.74</v>
      </c>
    </row>
    <row r="73" spans="1:8" ht="15">
      <c r="A73" s="155">
        <v>72</v>
      </c>
      <c r="B73" s="143" t="s">
        <v>546</v>
      </c>
      <c r="C73" s="155" t="s">
        <v>789</v>
      </c>
      <c r="D73" s="156">
        <v>391505</v>
      </c>
      <c r="E73" s="174">
        <v>3</v>
      </c>
      <c r="F73" s="174"/>
      <c r="G73" s="354">
        <v>5.27</v>
      </c>
      <c r="H73" s="277">
        <f t="shared" si="2"/>
        <v>15.81</v>
      </c>
    </row>
    <row r="74" spans="1:8" ht="25.5">
      <c r="A74" s="155">
        <v>73</v>
      </c>
      <c r="B74" s="143" t="s">
        <v>840</v>
      </c>
      <c r="C74" s="155" t="s">
        <v>789</v>
      </c>
      <c r="D74" s="156">
        <v>224115</v>
      </c>
      <c r="E74" s="174">
        <v>2</v>
      </c>
      <c r="F74" s="174" t="s">
        <v>759</v>
      </c>
      <c r="G74" s="354">
        <v>17.97</v>
      </c>
      <c r="H74" s="277">
        <f t="shared" si="2"/>
        <v>35.94</v>
      </c>
    </row>
    <row r="75" spans="1:8" ht="25.5">
      <c r="A75" s="155">
        <v>74</v>
      </c>
      <c r="B75" s="283" t="s">
        <v>841</v>
      </c>
      <c r="C75" s="155" t="s">
        <v>789</v>
      </c>
      <c r="D75" s="156">
        <v>224108</v>
      </c>
      <c r="E75" s="176">
        <v>2</v>
      </c>
      <c r="F75" s="176" t="s">
        <v>759</v>
      </c>
      <c r="G75" s="354">
        <v>10.91</v>
      </c>
      <c r="H75" s="277">
        <f t="shared" si="2"/>
        <v>21.82</v>
      </c>
    </row>
    <row r="76" spans="1:8" ht="25.5">
      <c r="A76" s="155">
        <v>75</v>
      </c>
      <c r="B76" s="143" t="s">
        <v>519</v>
      </c>
      <c r="C76" s="155" t="s">
        <v>789</v>
      </c>
      <c r="D76" s="156">
        <v>224112</v>
      </c>
      <c r="E76" s="174">
        <v>2</v>
      </c>
      <c r="F76" s="174" t="s">
        <v>759</v>
      </c>
      <c r="G76" s="354">
        <v>13.66</v>
      </c>
      <c r="H76" s="277">
        <f t="shared" si="2"/>
        <v>27.32</v>
      </c>
    </row>
    <row r="77" spans="1:8" ht="15">
      <c r="A77" s="155">
        <v>76</v>
      </c>
      <c r="B77" s="143" t="s">
        <v>842</v>
      </c>
      <c r="C77" s="155" t="s">
        <v>789</v>
      </c>
      <c r="D77" s="156">
        <v>312239</v>
      </c>
      <c r="E77" s="174">
        <v>4</v>
      </c>
      <c r="F77" s="174"/>
      <c r="G77" s="354">
        <v>2.98</v>
      </c>
      <c r="H77" s="277">
        <f t="shared" si="2"/>
        <v>11.92</v>
      </c>
    </row>
    <row r="78" spans="1:8" ht="25.5">
      <c r="A78" s="155">
        <v>77</v>
      </c>
      <c r="B78" s="143" t="s">
        <v>520</v>
      </c>
      <c r="C78" s="155" t="s">
        <v>789</v>
      </c>
      <c r="D78" s="156">
        <v>459435</v>
      </c>
      <c r="E78" s="174">
        <v>2</v>
      </c>
      <c r="F78" s="174" t="s">
        <v>843</v>
      </c>
      <c r="G78" s="354">
        <v>49.45</v>
      </c>
      <c r="H78" s="277">
        <f t="shared" si="2"/>
        <v>98.9</v>
      </c>
    </row>
    <row r="79" spans="1:8" ht="25.5">
      <c r="A79" s="155">
        <v>78</v>
      </c>
      <c r="B79" s="143" t="s">
        <v>521</v>
      </c>
      <c r="C79" s="155" t="s">
        <v>789</v>
      </c>
      <c r="D79" s="156">
        <v>411451</v>
      </c>
      <c r="E79" s="174">
        <v>3</v>
      </c>
      <c r="F79" s="174" t="s">
        <v>844</v>
      </c>
      <c r="G79" s="354">
        <v>24.53</v>
      </c>
      <c r="H79" s="277">
        <f t="shared" si="2"/>
        <v>73.59</v>
      </c>
    </row>
    <row r="80" spans="1:8" ht="38.25">
      <c r="A80" s="155">
        <v>79</v>
      </c>
      <c r="B80" s="143" t="s">
        <v>522</v>
      </c>
      <c r="C80" s="155" t="s">
        <v>789</v>
      </c>
      <c r="D80" s="156">
        <v>411449</v>
      </c>
      <c r="E80" s="174">
        <v>3</v>
      </c>
      <c r="F80" s="174" t="s">
        <v>844</v>
      </c>
      <c r="G80" s="354">
        <v>44.53</v>
      </c>
      <c r="H80" s="277">
        <f t="shared" si="2"/>
        <v>133.59</v>
      </c>
    </row>
    <row r="81" spans="1:8" ht="15">
      <c r="A81" s="155">
        <v>80</v>
      </c>
      <c r="B81" s="282" t="s">
        <v>845</v>
      </c>
      <c r="C81" s="155" t="s">
        <v>789</v>
      </c>
      <c r="D81" s="156">
        <v>361243</v>
      </c>
      <c r="E81" s="174">
        <v>3</v>
      </c>
      <c r="F81" s="174"/>
      <c r="G81" s="354">
        <v>93.1</v>
      </c>
      <c r="H81" s="277">
        <f t="shared" si="2"/>
        <v>279.3</v>
      </c>
    </row>
    <row r="82" spans="1:8" ht="15">
      <c r="A82" s="155">
        <v>81</v>
      </c>
      <c r="B82" s="282" t="s">
        <v>691</v>
      </c>
      <c r="C82" s="155" t="s">
        <v>789</v>
      </c>
      <c r="D82" s="156">
        <v>451652</v>
      </c>
      <c r="E82" s="175">
        <v>2</v>
      </c>
      <c r="F82" s="175"/>
      <c r="G82" s="354">
        <v>339.26</v>
      </c>
      <c r="H82" s="277">
        <f t="shared" si="2"/>
        <v>678.52</v>
      </c>
    </row>
    <row r="83" spans="1:8" ht="15">
      <c r="A83" s="155">
        <v>82</v>
      </c>
      <c r="B83" s="282" t="s">
        <v>846</v>
      </c>
      <c r="C83" s="155" t="s">
        <v>789</v>
      </c>
      <c r="D83" s="156">
        <v>451652</v>
      </c>
      <c r="E83" s="175">
        <v>1</v>
      </c>
      <c r="F83" s="175"/>
      <c r="G83" s="354">
        <v>504.85</v>
      </c>
      <c r="H83" s="277">
        <f t="shared" si="2"/>
        <v>504.85</v>
      </c>
    </row>
    <row r="84" spans="1:8" ht="25.5">
      <c r="A84" s="155">
        <v>83</v>
      </c>
      <c r="B84" s="143" t="s">
        <v>525</v>
      </c>
      <c r="C84" s="155" t="s">
        <v>789</v>
      </c>
      <c r="D84" s="156">
        <v>249750</v>
      </c>
      <c r="E84" s="174">
        <v>1</v>
      </c>
      <c r="F84" s="174" t="s">
        <v>830</v>
      </c>
      <c r="G84" s="354">
        <v>21.35</v>
      </c>
      <c r="H84" s="277">
        <f t="shared" si="2"/>
        <v>21.35</v>
      </c>
    </row>
    <row r="85" spans="1:8" ht="25.5">
      <c r="A85" s="155">
        <v>84</v>
      </c>
      <c r="B85" s="143" t="s">
        <v>523</v>
      </c>
      <c r="C85" s="155" t="s">
        <v>789</v>
      </c>
      <c r="D85" s="156">
        <v>249757</v>
      </c>
      <c r="E85" s="174">
        <v>1</v>
      </c>
      <c r="F85" s="174" t="s">
        <v>830</v>
      </c>
      <c r="G85" s="354">
        <v>36.8</v>
      </c>
      <c r="H85" s="277">
        <f t="shared" si="2"/>
        <v>36.8</v>
      </c>
    </row>
    <row r="86" spans="1:8" ht="25.5">
      <c r="A86" s="155">
        <v>85</v>
      </c>
      <c r="B86" s="143" t="s">
        <v>524</v>
      </c>
      <c r="C86" s="155" t="s">
        <v>789</v>
      </c>
      <c r="D86" s="156">
        <v>249751</v>
      </c>
      <c r="E86" s="174">
        <v>1</v>
      </c>
      <c r="F86" s="174" t="s">
        <v>830</v>
      </c>
      <c r="G86" s="354">
        <v>29.54</v>
      </c>
      <c r="H86" s="277">
        <f t="shared" si="2"/>
        <v>29.54</v>
      </c>
    </row>
    <row r="87" spans="1:8" ht="25.5">
      <c r="A87" s="155">
        <v>86</v>
      </c>
      <c r="B87" s="143" t="s">
        <v>526</v>
      </c>
      <c r="C87" s="155" t="s">
        <v>789</v>
      </c>
      <c r="D87" s="156">
        <v>249752</v>
      </c>
      <c r="E87" s="174">
        <v>1</v>
      </c>
      <c r="F87" s="174" t="s">
        <v>830</v>
      </c>
      <c r="G87" s="354">
        <v>30.66</v>
      </c>
      <c r="H87" s="277">
        <f t="shared" si="2"/>
        <v>30.66</v>
      </c>
    </row>
    <row r="88" spans="1:8" ht="15">
      <c r="A88" s="155">
        <v>87</v>
      </c>
      <c r="B88" s="143" t="s">
        <v>847</v>
      </c>
      <c r="C88" s="155" t="s">
        <v>789</v>
      </c>
      <c r="D88" s="156">
        <v>150911</v>
      </c>
      <c r="E88" s="174">
        <v>8</v>
      </c>
      <c r="F88" s="174"/>
      <c r="G88" s="354">
        <v>23.15</v>
      </c>
      <c r="H88" s="277">
        <f t="shared" si="2"/>
        <v>185.2</v>
      </c>
    </row>
    <row r="89" spans="1:8" ht="51">
      <c r="A89" s="155">
        <v>88</v>
      </c>
      <c r="B89" s="143" t="s">
        <v>848</v>
      </c>
      <c r="C89" s="155" t="s">
        <v>789</v>
      </c>
      <c r="D89" s="156">
        <v>264064</v>
      </c>
      <c r="E89" s="174">
        <v>2</v>
      </c>
      <c r="F89" s="174" t="s">
        <v>824</v>
      </c>
      <c r="G89" s="354">
        <v>45.52</v>
      </c>
      <c r="H89" s="277">
        <f t="shared" si="2"/>
        <v>91.04</v>
      </c>
    </row>
    <row r="90" spans="1:8" ht="25.5">
      <c r="A90" s="155">
        <v>89</v>
      </c>
      <c r="B90" s="143" t="s">
        <v>849</v>
      </c>
      <c r="C90" s="155" t="s">
        <v>789</v>
      </c>
      <c r="D90" s="156">
        <v>449420</v>
      </c>
      <c r="E90" s="174">
        <v>3</v>
      </c>
      <c r="F90" s="174" t="s">
        <v>824</v>
      </c>
      <c r="G90" s="354">
        <v>119.56</v>
      </c>
      <c r="H90" s="277">
        <f t="shared" si="2"/>
        <v>358.68</v>
      </c>
    </row>
    <row r="91" spans="1:8" ht="15">
      <c r="A91" s="155">
        <v>90</v>
      </c>
      <c r="B91" s="143" t="s">
        <v>850</v>
      </c>
      <c r="C91" s="155" t="s">
        <v>789</v>
      </c>
      <c r="D91" s="156">
        <v>249826</v>
      </c>
      <c r="E91" s="174">
        <v>3</v>
      </c>
      <c r="F91" s="174" t="s">
        <v>813</v>
      </c>
      <c r="G91" s="354">
        <v>11.26</v>
      </c>
      <c r="H91" s="277">
        <f t="shared" si="2"/>
        <v>33.78</v>
      </c>
    </row>
    <row r="92" spans="1:8" ht="38.25">
      <c r="A92" s="155">
        <v>91</v>
      </c>
      <c r="B92" s="143" t="s">
        <v>851</v>
      </c>
      <c r="C92" s="155" t="s">
        <v>789</v>
      </c>
      <c r="D92" s="156">
        <v>601791</v>
      </c>
      <c r="E92" s="174">
        <v>2</v>
      </c>
      <c r="F92" s="174" t="s">
        <v>824</v>
      </c>
      <c r="G92" s="354">
        <v>247.21</v>
      </c>
      <c r="H92" s="277">
        <f t="shared" si="2"/>
        <v>494.42</v>
      </c>
    </row>
    <row r="93" spans="1:8" ht="15">
      <c r="A93" s="155">
        <v>92</v>
      </c>
      <c r="B93" s="143" t="s">
        <v>547</v>
      </c>
      <c r="C93" s="155" t="s">
        <v>789</v>
      </c>
      <c r="D93" s="156">
        <v>286755</v>
      </c>
      <c r="E93" s="174">
        <v>2</v>
      </c>
      <c r="F93" s="174" t="s">
        <v>824</v>
      </c>
      <c r="G93" s="354">
        <v>169.87</v>
      </c>
      <c r="H93" s="277">
        <f t="shared" si="2"/>
        <v>339.74</v>
      </c>
    </row>
    <row r="94" spans="1:8" ht="76.5">
      <c r="A94" s="155">
        <v>93</v>
      </c>
      <c r="B94" s="143" t="s">
        <v>527</v>
      </c>
      <c r="C94" s="155" t="s">
        <v>789</v>
      </c>
      <c r="D94" s="156">
        <v>329383</v>
      </c>
      <c r="E94" s="174">
        <v>2</v>
      </c>
      <c r="F94" s="174" t="s">
        <v>813</v>
      </c>
      <c r="G94" s="354">
        <v>58.43</v>
      </c>
      <c r="H94" s="277">
        <f t="shared" si="2"/>
        <v>116.86</v>
      </c>
    </row>
    <row r="95" spans="1:8" ht="25.5">
      <c r="A95" s="155">
        <v>94</v>
      </c>
      <c r="B95" s="143" t="s">
        <v>566</v>
      </c>
      <c r="C95" s="155" t="s">
        <v>789</v>
      </c>
      <c r="D95" s="156">
        <v>72192</v>
      </c>
      <c r="E95" s="174">
        <v>2</v>
      </c>
      <c r="F95" s="174" t="s">
        <v>824</v>
      </c>
      <c r="G95" s="354">
        <v>860.05</v>
      </c>
      <c r="H95" s="277">
        <f t="shared" si="2"/>
        <v>1720.1</v>
      </c>
    </row>
    <row r="96" spans="1:8" ht="25.5">
      <c r="A96" s="155">
        <v>95</v>
      </c>
      <c r="B96" s="143" t="s">
        <v>852</v>
      </c>
      <c r="C96" s="155" t="s">
        <v>528</v>
      </c>
      <c r="D96" s="156">
        <v>256554</v>
      </c>
      <c r="E96" s="174">
        <v>3</v>
      </c>
      <c r="F96" s="174" t="s">
        <v>853</v>
      </c>
      <c r="G96" s="354">
        <v>32.79</v>
      </c>
      <c r="H96" s="277">
        <f t="shared" si="2"/>
        <v>98.37</v>
      </c>
    </row>
    <row r="97" spans="1:8" ht="15">
      <c r="A97" s="155">
        <v>96</v>
      </c>
      <c r="B97" s="143" t="s">
        <v>854</v>
      </c>
      <c r="C97" s="155" t="s">
        <v>789</v>
      </c>
      <c r="D97" s="156">
        <v>384308</v>
      </c>
      <c r="E97" s="174">
        <v>2</v>
      </c>
      <c r="F97" s="174" t="s">
        <v>822</v>
      </c>
      <c r="G97" s="354">
        <v>36.9</v>
      </c>
      <c r="H97" s="277">
        <f t="shared" si="2"/>
        <v>73.8</v>
      </c>
    </row>
    <row r="98" spans="1:8" ht="51">
      <c r="A98" s="155">
        <v>97</v>
      </c>
      <c r="B98" s="143" t="s">
        <v>529</v>
      </c>
      <c r="C98" s="155" t="s">
        <v>789</v>
      </c>
      <c r="D98" s="156">
        <v>225672</v>
      </c>
      <c r="E98" s="174">
        <v>2</v>
      </c>
      <c r="F98" s="174" t="s">
        <v>855</v>
      </c>
      <c r="G98" s="354">
        <v>53.71</v>
      </c>
      <c r="H98" s="277">
        <f aca="true" t="shared" si="3" ref="H98:H129">ROUND(E98*G98,2)</f>
        <v>107.42</v>
      </c>
    </row>
    <row r="99" spans="1:8" ht="25.5">
      <c r="A99" s="155">
        <v>98</v>
      </c>
      <c r="B99" s="143" t="s">
        <v>514</v>
      </c>
      <c r="C99" s="155" t="s">
        <v>789</v>
      </c>
      <c r="D99" s="156">
        <v>279613</v>
      </c>
      <c r="E99" s="174">
        <v>2</v>
      </c>
      <c r="F99" s="174" t="s">
        <v>822</v>
      </c>
      <c r="G99" s="354">
        <v>49.61</v>
      </c>
      <c r="H99" s="277">
        <f t="shared" si="3"/>
        <v>99.22</v>
      </c>
    </row>
    <row r="100" spans="1:8" ht="25.5">
      <c r="A100" s="155">
        <v>99</v>
      </c>
      <c r="B100" s="143" t="s">
        <v>531</v>
      </c>
      <c r="C100" s="155" t="s">
        <v>789</v>
      </c>
      <c r="D100" s="156">
        <v>338118</v>
      </c>
      <c r="E100" s="174">
        <v>2</v>
      </c>
      <c r="F100" s="174" t="s">
        <v>804</v>
      </c>
      <c r="G100" s="354">
        <v>46.01</v>
      </c>
      <c r="H100" s="277">
        <f t="shared" si="3"/>
        <v>92.02</v>
      </c>
    </row>
    <row r="101" spans="1:8" ht="15">
      <c r="A101" s="155">
        <v>100</v>
      </c>
      <c r="B101" s="143" t="s">
        <v>530</v>
      </c>
      <c r="C101" s="155" t="s">
        <v>789</v>
      </c>
      <c r="D101" s="156">
        <v>391961</v>
      </c>
      <c r="E101" s="174">
        <v>2</v>
      </c>
      <c r="F101" s="174" t="s">
        <v>822</v>
      </c>
      <c r="G101" s="354">
        <v>44.57</v>
      </c>
      <c r="H101" s="277">
        <f t="shared" si="3"/>
        <v>89.14</v>
      </c>
    </row>
    <row r="102" spans="1:8" ht="25.5">
      <c r="A102" s="155">
        <v>101</v>
      </c>
      <c r="B102" s="143" t="s">
        <v>512</v>
      </c>
      <c r="C102" s="155" t="s">
        <v>789</v>
      </c>
      <c r="D102" s="156">
        <v>361082</v>
      </c>
      <c r="E102" s="174">
        <v>2</v>
      </c>
      <c r="F102" s="174" t="s">
        <v>855</v>
      </c>
      <c r="G102" s="354">
        <v>48.48</v>
      </c>
      <c r="H102" s="277">
        <f t="shared" si="3"/>
        <v>96.96</v>
      </c>
    </row>
    <row r="103" spans="1:8" ht="25.5">
      <c r="A103" s="155">
        <v>102</v>
      </c>
      <c r="B103" s="143" t="s">
        <v>513</v>
      </c>
      <c r="C103" s="155" t="s">
        <v>789</v>
      </c>
      <c r="D103" s="156">
        <v>360983</v>
      </c>
      <c r="E103" s="174">
        <v>2</v>
      </c>
      <c r="F103" s="174" t="s">
        <v>855</v>
      </c>
      <c r="G103" s="354">
        <v>23.1</v>
      </c>
      <c r="H103" s="277">
        <f t="shared" si="3"/>
        <v>46.2</v>
      </c>
    </row>
    <row r="104" spans="1:8" ht="15">
      <c r="A104" s="155">
        <v>103</v>
      </c>
      <c r="B104" s="143" t="s">
        <v>548</v>
      </c>
      <c r="C104" s="155" t="s">
        <v>789</v>
      </c>
      <c r="D104" s="156">
        <v>262706</v>
      </c>
      <c r="E104" s="174">
        <v>2</v>
      </c>
      <c r="F104" s="174"/>
      <c r="G104" s="354">
        <v>13.97</v>
      </c>
      <c r="H104" s="277">
        <f t="shared" si="3"/>
        <v>27.94</v>
      </c>
    </row>
    <row r="105" spans="1:8" ht="25.5">
      <c r="A105" s="155">
        <v>104</v>
      </c>
      <c r="B105" s="143" t="s">
        <v>856</v>
      </c>
      <c r="C105" s="155" t="s">
        <v>789</v>
      </c>
      <c r="D105" s="156">
        <v>479868</v>
      </c>
      <c r="E105" s="174">
        <v>1</v>
      </c>
      <c r="F105" s="174" t="s">
        <v>857</v>
      </c>
      <c r="G105" s="354">
        <v>321.69</v>
      </c>
      <c r="H105" s="277">
        <f t="shared" si="3"/>
        <v>321.69</v>
      </c>
    </row>
    <row r="106" spans="1:8" ht="38.25">
      <c r="A106" s="155">
        <v>105</v>
      </c>
      <c r="B106" s="143" t="s">
        <v>533</v>
      </c>
      <c r="C106" s="155" t="s">
        <v>789</v>
      </c>
      <c r="D106" s="156">
        <v>377500</v>
      </c>
      <c r="E106" s="174">
        <v>2</v>
      </c>
      <c r="F106" s="174" t="s">
        <v>830</v>
      </c>
      <c r="G106" s="354">
        <v>48.43</v>
      </c>
      <c r="H106" s="277">
        <f t="shared" si="3"/>
        <v>96.86</v>
      </c>
    </row>
    <row r="107" spans="1:8" ht="38.25">
      <c r="A107" s="155">
        <v>106</v>
      </c>
      <c r="B107" s="143" t="s">
        <v>532</v>
      </c>
      <c r="C107" s="155" t="s">
        <v>789</v>
      </c>
      <c r="D107" s="156">
        <v>377499</v>
      </c>
      <c r="E107" s="174">
        <v>2</v>
      </c>
      <c r="F107" s="174" t="s">
        <v>830</v>
      </c>
      <c r="G107" s="354">
        <v>74.3</v>
      </c>
      <c r="H107" s="277">
        <f t="shared" si="3"/>
        <v>148.6</v>
      </c>
    </row>
    <row r="108" spans="1:8" ht="38.25">
      <c r="A108" s="155">
        <v>107</v>
      </c>
      <c r="B108" s="143" t="s">
        <v>534</v>
      </c>
      <c r="C108" s="155" t="s">
        <v>789</v>
      </c>
      <c r="D108" s="156">
        <v>377501</v>
      </c>
      <c r="E108" s="174">
        <v>1</v>
      </c>
      <c r="F108" s="174" t="s">
        <v>830</v>
      </c>
      <c r="G108" s="354">
        <v>85.4</v>
      </c>
      <c r="H108" s="277">
        <f t="shared" si="3"/>
        <v>85.4</v>
      </c>
    </row>
    <row r="109" spans="1:8" ht="15">
      <c r="A109" s="155">
        <v>108</v>
      </c>
      <c r="B109" s="143" t="s">
        <v>536</v>
      </c>
      <c r="C109" s="155" t="s">
        <v>789</v>
      </c>
      <c r="D109" s="156">
        <v>380101</v>
      </c>
      <c r="E109" s="174">
        <v>3</v>
      </c>
      <c r="F109" s="174" t="s">
        <v>822</v>
      </c>
      <c r="G109" s="354">
        <v>56.17</v>
      </c>
      <c r="H109" s="277">
        <f t="shared" si="3"/>
        <v>168.51</v>
      </c>
    </row>
    <row r="110" spans="1:8" ht="25.5">
      <c r="A110" s="155">
        <v>109</v>
      </c>
      <c r="B110" s="143" t="s">
        <v>535</v>
      </c>
      <c r="C110" s="155" t="s">
        <v>789</v>
      </c>
      <c r="D110" s="156">
        <v>237399</v>
      </c>
      <c r="E110" s="174">
        <v>2</v>
      </c>
      <c r="F110" s="174" t="s">
        <v>822</v>
      </c>
      <c r="G110" s="354">
        <v>32.69</v>
      </c>
      <c r="H110" s="277">
        <f t="shared" si="3"/>
        <v>65.38</v>
      </c>
    </row>
    <row r="111" spans="1:8" ht="25.5">
      <c r="A111" s="207">
        <v>110</v>
      </c>
      <c r="B111" s="143" t="s">
        <v>537</v>
      </c>
      <c r="C111" s="155" t="s">
        <v>789</v>
      </c>
      <c r="D111" s="156">
        <v>217691</v>
      </c>
      <c r="E111" s="174">
        <v>2</v>
      </c>
      <c r="F111" s="284"/>
      <c r="G111" s="354">
        <v>18.9</v>
      </c>
      <c r="H111" s="277">
        <f t="shared" si="3"/>
        <v>37.8</v>
      </c>
    </row>
    <row r="112" spans="1:8" ht="38.25">
      <c r="A112" s="155">
        <v>111</v>
      </c>
      <c r="B112" s="143" t="s">
        <v>538</v>
      </c>
      <c r="C112" s="155" t="s">
        <v>789</v>
      </c>
      <c r="D112" s="156">
        <v>312507</v>
      </c>
      <c r="E112" s="174">
        <v>1</v>
      </c>
      <c r="F112" s="174" t="s">
        <v>855</v>
      </c>
      <c r="G112" s="354">
        <v>18.9</v>
      </c>
      <c r="H112" s="277">
        <f t="shared" si="3"/>
        <v>18.9</v>
      </c>
    </row>
    <row r="113" spans="1:8" ht="15">
      <c r="A113" s="155">
        <v>112</v>
      </c>
      <c r="B113" s="143" t="s">
        <v>858</v>
      </c>
      <c r="C113" s="155" t="s">
        <v>789</v>
      </c>
      <c r="D113" s="156">
        <v>266875</v>
      </c>
      <c r="E113" s="174">
        <v>1</v>
      </c>
      <c r="F113" s="174" t="s">
        <v>822</v>
      </c>
      <c r="G113" s="354">
        <v>40.23</v>
      </c>
      <c r="H113" s="277">
        <f t="shared" si="3"/>
        <v>40.23</v>
      </c>
    </row>
    <row r="114" spans="1:8" ht="15">
      <c r="A114" s="155">
        <v>113</v>
      </c>
      <c r="B114" s="143" t="s">
        <v>859</v>
      </c>
      <c r="C114" s="155" t="s">
        <v>789</v>
      </c>
      <c r="D114" s="156">
        <v>8435</v>
      </c>
      <c r="E114" s="174">
        <v>1</v>
      </c>
      <c r="F114" s="284"/>
      <c r="G114" s="354">
        <v>66.46</v>
      </c>
      <c r="H114" s="277">
        <f t="shared" si="3"/>
        <v>66.46</v>
      </c>
    </row>
    <row r="115" spans="1:8" ht="15">
      <c r="A115" s="155">
        <v>114</v>
      </c>
      <c r="B115" s="143" t="s">
        <v>860</v>
      </c>
      <c r="C115" s="155" t="s">
        <v>789</v>
      </c>
      <c r="D115" s="156">
        <v>39586</v>
      </c>
      <c r="E115" s="174">
        <v>1</v>
      </c>
      <c r="F115" s="174" t="s">
        <v>822</v>
      </c>
      <c r="G115" s="354">
        <v>122.24</v>
      </c>
      <c r="H115" s="277">
        <f t="shared" si="3"/>
        <v>122.24</v>
      </c>
    </row>
    <row r="116" spans="1:8" ht="25.5">
      <c r="A116" s="155">
        <v>115</v>
      </c>
      <c r="B116" s="143" t="s">
        <v>551</v>
      </c>
      <c r="C116" s="155" t="s">
        <v>789</v>
      </c>
      <c r="D116" s="156">
        <v>150651</v>
      </c>
      <c r="E116" s="174">
        <v>4</v>
      </c>
      <c r="F116" s="174"/>
      <c r="G116" s="354">
        <v>61.17</v>
      </c>
      <c r="H116" s="277">
        <f t="shared" si="3"/>
        <v>244.68</v>
      </c>
    </row>
    <row r="117" spans="1:8" ht="38.25">
      <c r="A117" s="155">
        <v>116</v>
      </c>
      <c r="B117" s="143" t="s">
        <v>552</v>
      </c>
      <c r="C117" s="155" t="s">
        <v>789</v>
      </c>
      <c r="D117" s="156">
        <v>150651</v>
      </c>
      <c r="E117" s="174">
        <v>4</v>
      </c>
      <c r="F117" s="174"/>
      <c r="G117" s="354">
        <v>47.23</v>
      </c>
      <c r="H117" s="277">
        <f t="shared" si="3"/>
        <v>188.92</v>
      </c>
    </row>
    <row r="118" spans="1:8" s="263" customFormat="1" ht="25.5">
      <c r="A118" s="207">
        <v>117</v>
      </c>
      <c r="B118" s="285" t="s">
        <v>539</v>
      </c>
      <c r="C118" s="207" t="s">
        <v>789</v>
      </c>
      <c r="D118" s="286">
        <v>252133</v>
      </c>
      <c r="E118" s="287">
        <v>1</v>
      </c>
      <c r="F118" s="287" t="s">
        <v>861</v>
      </c>
      <c r="G118" s="354">
        <v>244.52</v>
      </c>
      <c r="H118" s="288">
        <f t="shared" si="3"/>
        <v>244.52</v>
      </c>
    </row>
    <row r="119" spans="1:8" ht="25.5">
      <c r="A119" s="155">
        <v>118</v>
      </c>
      <c r="B119" s="143" t="s">
        <v>862</v>
      </c>
      <c r="C119" s="155" t="s">
        <v>789</v>
      </c>
      <c r="D119" s="156">
        <v>329304</v>
      </c>
      <c r="E119" s="174">
        <v>2</v>
      </c>
      <c r="F119" s="174" t="s">
        <v>822</v>
      </c>
      <c r="G119" s="354">
        <v>45.4</v>
      </c>
      <c r="H119" s="277">
        <f t="shared" si="3"/>
        <v>90.8</v>
      </c>
    </row>
    <row r="120" spans="1:8" ht="15">
      <c r="A120" s="155">
        <v>119</v>
      </c>
      <c r="B120" s="143" t="s">
        <v>540</v>
      </c>
      <c r="C120" s="155" t="s">
        <v>789</v>
      </c>
      <c r="D120" s="156">
        <v>313744</v>
      </c>
      <c r="E120" s="155">
        <v>1</v>
      </c>
      <c r="F120" s="339" t="s">
        <v>863</v>
      </c>
      <c r="G120" s="354">
        <v>27.38</v>
      </c>
      <c r="H120" s="277">
        <f t="shared" si="3"/>
        <v>27.38</v>
      </c>
    </row>
    <row r="121" spans="1:8" s="344" customFormat="1" ht="25.5">
      <c r="A121" s="207">
        <v>120</v>
      </c>
      <c r="B121" s="285" t="s">
        <v>541</v>
      </c>
      <c r="C121" s="207" t="s">
        <v>789</v>
      </c>
      <c r="D121" s="286">
        <v>224106</v>
      </c>
      <c r="E121" s="207">
        <v>2</v>
      </c>
      <c r="F121" s="207" t="s">
        <v>864</v>
      </c>
      <c r="G121" s="354">
        <v>24.04</v>
      </c>
      <c r="H121" s="288">
        <f t="shared" si="3"/>
        <v>48.08</v>
      </c>
    </row>
    <row r="122" spans="1:8" ht="15">
      <c r="A122" s="155">
        <v>121</v>
      </c>
      <c r="B122" s="143" t="s">
        <v>542</v>
      </c>
      <c r="C122" s="155" t="s">
        <v>789</v>
      </c>
      <c r="D122" s="156">
        <v>313933</v>
      </c>
      <c r="E122" s="155">
        <v>2</v>
      </c>
      <c r="F122" s="339" t="s">
        <v>865</v>
      </c>
      <c r="G122" s="354">
        <v>36.4</v>
      </c>
      <c r="H122" s="277">
        <f t="shared" si="3"/>
        <v>72.8</v>
      </c>
    </row>
    <row r="123" spans="1:8" ht="15">
      <c r="A123" s="155">
        <v>122</v>
      </c>
      <c r="B123" s="369" t="s">
        <v>866</v>
      </c>
      <c r="C123" s="155" t="s">
        <v>789</v>
      </c>
      <c r="D123" s="281">
        <v>39519</v>
      </c>
      <c r="E123" s="174">
        <v>1</v>
      </c>
      <c r="F123" s="174" t="s">
        <v>867</v>
      </c>
      <c r="G123" s="354">
        <v>413.64</v>
      </c>
      <c r="H123" s="277">
        <f t="shared" si="3"/>
        <v>413.64</v>
      </c>
    </row>
    <row r="124" spans="1:8" ht="15">
      <c r="A124" s="155">
        <v>123</v>
      </c>
      <c r="B124" s="369" t="s">
        <v>868</v>
      </c>
      <c r="C124" s="155" t="s">
        <v>789</v>
      </c>
      <c r="D124" s="156">
        <v>438813</v>
      </c>
      <c r="E124" s="174">
        <v>1</v>
      </c>
      <c r="F124" s="174" t="s">
        <v>867</v>
      </c>
      <c r="G124" s="354">
        <v>125.32</v>
      </c>
      <c r="H124" s="277">
        <f t="shared" si="3"/>
        <v>125.32</v>
      </c>
    </row>
    <row r="125" spans="1:8" ht="15">
      <c r="A125" s="155">
        <v>124</v>
      </c>
      <c r="B125" s="369" t="s">
        <v>869</v>
      </c>
      <c r="C125" s="155" t="s">
        <v>789</v>
      </c>
      <c r="D125" s="156">
        <v>438812</v>
      </c>
      <c r="E125" s="174">
        <v>2</v>
      </c>
      <c r="F125" s="174" t="s">
        <v>867</v>
      </c>
      <c r="G125" s="354">
        <v>90.9</v>
      </c>
      <c r="H125" s="277">
        <f t="shared" si="3"/>
        <v>181.8</v>
      </c>
    </row>
    <row r="126" spans="1:8" ht="15">
      <c r="A126" s="155">
        <v>125</v>
      </c>
      <c r="B126" s="369" t="s">
        <v>870</v>
      </c>
      <c r="C126" s="155" t="s">
        <v>789</v>
      </c>
      <c r="D126" s="156">
        <v>438814</v>
      </c>
      <c r="E126" s="174">
        <v>2</v>
      </c>
      <c r="F126" s="174" t="s">
        <v>867</v>
      </c>
      <c r="G126" s="354">
        <v>67.9</v>
      </c>
      <c r="H126" s="277">
        <f t="shared" si="3"/>
        <v>135.8</v>
      </c>
    </row>
    <row r="127" spans="1:8" ht="15">
      <c r="A127" s="155">
        <v>126</v>
      </c>
      <c r="B127" s="369" t="s">
        <v>871</v>
      </c>
      <c r="C127" s="155" t="s">
        <v>789</v>
      </c>
      <c r="D127" s="156">
        <v>438811</v>
      </c>
      <c r="E127" s="174">
        <v>2</v>
      </c>
      <c r="F127" s="174" t="s">
        <v>867</v>
      </c>
      <c r="G127" s="354">
        <v>50.21</v>
      </c>
      <c r="H127" s="277">
        <f t="shared" si="3"/>
        <v>100.42</v>
      </c>
    </row>
    <row r="128" spans="1:8" ht="15">
      <c r="A128" s="155">
        <v>127</v>
      </c>
      <c r="B128" s="369" t="s">
        <v>872</v>
      </c>
      <c r="C128" s="155" t="s">
        <v>789</v>
      </c>
      <c r="D128" s="156">
        <v>39519</v>
      </c>
      <c r="E128" s="174">
        <v>1</v>
      </c>
      <c r="F128" s="174" t="s">
        <v>867</v>
      </c>
      <c r="G128" s="354">
        <v>176.98</v>
      </c>
      <c r="H128" s="277">
        <f t="shared" si="3"/>
        <v>176.98</v>
      </c>
    </row>
    <row r="129" spans="1:8" ht="15">
      <c r="A129" s="155">
        <v>128</v>
      </c>
      <c r="B129" s="369" t="s">
        <v>873</v>
      </c>
      <c r="C129" s="155" t="s">
        <v>789</v>
      </c>
      <c r="D129" s="156">
        <v>429122</v>
      </c>
      <c r="E129" s="174">
        <v>1</v>
      </c>
      <c r="F129" s="174" t="s">
        <v>867</v>
      </c>
      <c r="G129" s="354">
        <v>147.28</v>
      </c>
      <c r="H129" s="277">
        <f t="shared" si="3"/>
        <v>147.28</v>
      </c>
    </row>
    <row r="130" spans="1:8" ht="15">
      <c r="A130" s="155">
        <v>129</v>
      </c>
      <c r="B130" s="369" t="s">
        <v>874</v>
      </c>
      <c r="C130" s="155" t="s">
        <v>789</v>
      </c>
      <c r="D130" s="156">
        <v>293367</v>
      </c>
      <c r="E130" s="174">
        <v>2</v>
      </c>
      <c r="F130" s="174" t="s">
        <v>867</v>
      </c>
      <c r="G130" s="354">
        <v>100.38</v>
      </c>
      <c r="H130" s="277">
        <f aca="true" t="shared" si="4" ref="H130:H145">ROUND(E130*G130,2)</f>
        <v>200.76</v>
      </c>
    </row>
    <row r="131" spans="1:8" ht="15">
      <c r="A131" s="155">
        <v>130</v>
      </c>
      <c r="B131" s="369" t="s">
        <v>875</v>
      </c>
      <c r="C131" s="155" t="s">
        <v>789</v>
      </c>
      <c r="D131" s="158">
        <v>419579</v>
      </c>
      <c r="E131" s="174">
        <v>2</v>
      </c>
      <c r="F131" s="174" t="s">
        <v>867</v>
      </c>
      <c r="G131" s="354">
        <v>81.97</v>
      </c>
      <c r="H131" s="277">
        <f t="shared" si="4"/>
        <v>163.94</v>
      </c>
    </row>
    <row r="132" spans="1:8" ht="15">
      <c r="A132" s="155">
        <v>131</v>
      </c>
      <c r="B132" s="369" t="s">
        <v>876</v>
      </c>
      <c r="C132" s="155" t="s">
        <v>789</v>
      </c>
      <c r="D132" s="156">
        <v>440436</v>
      </c>
      <c r="E132" s="174">
        <v>2</v>
      </c>
      <c r="F132" s="174" t="s">
        <v>867</v>
      </c>
      <c r="G132" s="354">
        <v>72.68</v>
      </c>
      <c r="H132" s="277">
        <f t="shared" si="4"/>
        <v>145.36</v>
      </c>
    </row>
    <row r="133" spans="1:8" ht="15">
      <c r="A133" s="155">
        <v>132</v>
      </c>
      <c r="B133" s="369" t="s">
        <v>877</v>
      </c>
      <c r="C133" s="155" t="s">
        <v>789</v>
      </c>
      <c r="D133" s="156">
        <v>249303</v>
      </c>
      <c r="E133" s="174">
        <v>2</v>
      </c>
      <c r="F133" s="174" t="s">
        <v>867</v>
      </c>
      <c r="G133" s="354">
        <v>46.26</v>
      </c>
      <c r="H133" s="277">
        <f t="shared" si="4"/>
        <v>92.52</v>
      </c>
    </row>
    <row r="134" spans="1:8" ht="15">
      <c r="A134" s="155">
        <v>133</v>
      </c>
      <c r="B134" s="369" t="s">
        <v>878</v>
      </c>
      <c r="C134" s="155" t="s">
        <v>789</v>
      </c>
      <c r="D134" s="156">
        <v>323874</v>
      </c>
      <c r="E134" s="174">
        <v>2</v>
      </c>
      <c r="F134" s="174" t="s">
        <v>867</v>
      </c>
      <c r="G134" s="354">
        <v>45.46</v>
      </c>
      <c r="H134" s="277">
        <f t="shared" si="4"/>
        <v>90.92</v>
      </c>
    </row>
    <row r="135" spans="1:8" ht="15">
      <c r="A135" s="155">
        <v>134</v>
      </c>
      <c r="B135" s="369" t="s">
        <v>879</v>
      </c>
      <c r="C135" s="155" t="s">
        <v>789</v>
      </c>
      <c r="D135" s="156">
        <v>440435</v>
      </c>
      <c r="E135" s="174">
        <v>2</v>
      </c>
      <c r="F135" s="174" t="s">
        <v>867</v>
      </c>
      <c r="G135" s="354">
        <v>42.45</v>
      </c>
      <c r="H135" s="277">
        <f t="shared" si="4"/>
        <v>84.9</v>
      </c>
    </row>
    <row r="136" spans="1:8" ht="15">
      <c r="A136" s="155">
        <v>135</v>
      </c>
      <c r="B136" s="369" t="s">
        <v>880</v>
      </c>
      <c r="C136" s="155" t="s">
        <v>789</v>
      </c>
      <c r="D136" s="156">
        <v>270167</v>
      </c>
      <c r="E136" s="174">
        <v>2</v>
      </c>
      <c r="F136" s="174" t="s">
        <v>867</v>
      </c>
      <c r="G136" s="354">
        <v>71.3</v>
      </c>
      <c r="H136" s="277">
        <f t="shared" si="4"/>
        <v>142.6</v>
      </c>
    </row>
    <row r="137" spans="1:8" ht="38.25">
      <c r="A137" s="155">
        <v>136</v>
      </c>
      <c r="B137" s="143" t="s">
        <v>1164</v>
      </c>
      <c r="C137" s="155" t="s">
        <v>789</v>
      </c>
      <c r="D137" s="156">
        <v>216760</v>
      </c>
      <c r="E137" s="174">
        <v>1</v>
      </c>
      <c r="F137" s="174" t="s">
        <v>822</v>
      </c>
      <c r="G137" s="354">
        <v>65.46</v>
      </c>
      <c r="H137" s="277">
        <f t="shared" si="4"/>
        <v>65.46</v>
      </c>
    </row>
    <row r="138" spans="1:8" ht="38.25">
      <c r="A138" s="155">
        <v>137</v>
      </c>
      <c r="B138" s="143" t="s">
        <v>881</v>
      </c>
      <c r="C138" s="155" t="s">
        <v>789</v>
      </c>
      <c r="D138" s="156">
        <v>216760</v>
      </c>
      <c r="E138" s="174">
        <v>1</v>
      </c>
      <c r="F138" s="174" t="s">
        <v>822</v>
      </c>
      <c r="G138" s="354">
        <v>49.48</v>
      </c>
      <c r="H138" s="277">
        <f t="shared" si="4"/>
        <v>49.48</v>
      </c>
    </row>
    <row r="139" spans="1:8" ht="38.25">
      <c r="A139" s="155">
        <v>138</v>
      </c>
      <c r="B139" s="143" t="s">
        <v>543</v>
      </c>
      <c r="C139" s="155" t="s">
        <v>789</v>
      </c>
      <c r="D139" s="156">
        <v>271509</v>
      </c>
      <c r="E139" s="174">
        <v>2</v>
      </c>
      <c r="F139" s="174" t="s">
        <v>822</v>
      </c>
      <c r="G139" s="354">
        <v>54.28</v>
      </c>
      <c r="H139" s="277">
        <f t="shared" si="4"/>
        <v>108.56</v>
      </c>
    </row>
    <row r="140" spans="1:8" ht="38.25">
      <c r="A140" s="155">
        <v>139</v>
      </c>
      <c r="B140" s="143" t="s">
        <v>544</v>
      </c>
      <c r="C140" s="155" t="s">
        <v>789</v>
      </c>
      <c r="D140" s="156">
        <v>249986</v>
      </c>
      <c r="E140" s="174">
        <v>2</v>
      </c>
      <c r="F140" s="174" t="s">
        <v>822</v>
      </c>
      <c r="G140" s="354">
        <v>74.76</v>
      </c>
      <c r="H140" s="277">
        <f t="shared" si="4"/>
        <v>149.52</v>
      </c>
    </row>
    <row r="141" spans="1:8" ht="15">
      <c r="A141" s="155">
        <v>140</v>
      </c>
      <c r="B141" s="143" t="s">
        <v>882</v>
      </c>
      <c r="C141" s="155" t="s">
        <v>789</v>
      </c>
      <c r="D141" s="156">
        <v>460781</v>
      </c>
      <c r="E141" s="155">
        <v>2</v>
      </c>
      <c r="F141" s="155" t="s">
        <v>883</v>
      </c>
      <c r="G141" s="354">
        <v>421.27</v>
      </c>
      <c r="H141" s="277">
        <f t="shared" si="4"/>
        <v>842.54</v>
      </c>
    </row>
    <row r="142" spans="1:8" ht="25.5">
      <c r="A142" s="155">
        <v>141</v>
      </c>
      <c r="B142" s="143" t="s">
        <v>884</v>
      </c>
      <c r="C142" s="155" t="s">
        <v>789</v>
      </c>
      <c r="D142" s="156">
        <v>393216</v>
      </c>
      <c r="E142" s="155">
        <v>3</v>
      </c>
      <c r="F142" s="155" t="s">
        <v>861</v>
      </c>
      <c r="G142" s="354">
        <v>35.64</v>
      </c>
      <c r="H142" s="277">
        <f t="shared" si="4"/>
        <v>106.92</v>
      </c>
    </row>
    <row r="143" spans="1:8" ht="25.5">
      <c r="A143" s="155">
        <v>142</v>
      </c>
      <c r="B143" s="143" t="s">
        <v>885</v>
      </c>
      <c r="C143" s="155" t="s">
        <v>789</v>
      </c>
      <c r="D143" s="156">
        <v>430333</v>
      </c>
      <c r="E143" s="155">
        <v>3</v>
      </c>
      <c r="F143" s="155" t="s">
        <v>809</v>
      </c>
      <c r="G143" s="354">
        <v>193.75</v>
      </c>
      <c r="H143" s="277">
        <f t="shared" si="4"/>
        <v>581.25</v>
      </c>
    </row>
    <row r="144" spans="1:8" ht="30" customHeight="1">
      <c r="A144" s="207">
        <v>143</v>
      </c>
      <c r="B144" s="285" t="s">
        <v>886</v>
      </c>
      <c r="C144" s="207" t="s">
        <v>789</v>
      </c>
      <c r="D144" s="286">
        <v>17540</v>
      </c>
      <c r="E144" s="207">
        <v>1</v>
      </c>
      <c r="F144" s="207" t="s">
        <v>883</v>
      </c>
      <c r="G144" s="354">
        <v>1791.56</v>
      </c>
      <c r="H144" s="288">
        <f t="shared" si="4"/>
        <v>1791.56</v>
      </c>
    </row>
    <row r="145" spans="1:8" ht="30" customHeight="1">
      <c r="A145" s="207">
        <v>144</v>
      </c>
      <c r="B145" s="285" t="s">
        <v>887</v>
      </c>
      <c r="C145" s="207" t="s">
        <v>789</v>
      </c>
      <c r="D145" s="286">
        <v>303943</v>
      </c>
      <c r="E145" s="207">
        <v>3</v>
      </c>
      <c r="F145" s="207" t="s">
        <v>812</v>
      </c>
      <c r="G145" s="354">
        <v>75.9</v>
      </c>
      <c r="H145" s="288">
        <f t="shared" si="4"/>
        <v>227.7</v>
      </c>
    </row>
    <row r="146" spans="1:8" ht="15">
      <c r="A146" s="714" t="s">
        <v>648</v>
      </c>
      <c r="B146" s="714"/>
      <c r="C146" s="714"/>
      <c r="D146" s="714"/>
      <c r="E146" s="714"/>
      <c r="F146" s="714"/>
      <c r="G146" s="714"/>
      <c r="H146" s="341">
        <f>SUM(H2:H145)</f>
        <v>47139.709999999985</v>
      </c>
    </row>
    <row r="147" spans="1:8" ht="15">
      <c r="A147" s="715" t="s">
        <v>457</v>
      </c>
      <c r="B147" s="715"/>
      <c r="C147" s="715"/>
      <c r="D147" s="715"/>
      <c r="E147" s="715"/>
      <c r="F147" s="715"/>
      <c r="G147" s="715"/>
      <c r="H147" s="340">
        <v>30</v>
      </c>
    </row>
    <row r="148" spans="1:8" ht="15">
      <c r="A148" s="715" t="s">
        <v>580</v>
      </c>
      <c r="B148" s="715"/>
      <c r="C148" s="715"/>
      <c r="D148" s="715"/>
      <c r="E148" s="715"/>
      <c r="F148" s="715"/>
      <c r="G148" s="715"/>
      <c r="H148" s="342">
        <f>H146/H147</f>
        <v>1571.3236666666662</v>
      </c>
    </row>
    <row r="149" spans="1:8" ht="15">
      <c r="A149" s="715" t="s">
        <v>578</v>
      </c>
      <c r="B149" s="715"/>
      <c r="C149" s="715"/>
      <c r="D149" s="715"/>
      <c r="E149" s="715"/>
      <c r="F149" s="715"/>
      <c r="G149" s="715"/>
      <c r="H149" s="340">
        <v>3</v>
      </c>
    </row>
    <row r="150" spans="1:8" ht="15">
      <c r="A150" s="716" t="s">
        <v>582</v>
      </c>
      <c r="B150" s="716"/>
      <c r="C150" s="716"/>
      <c r="D150" s="716"/>
      <c r="E150" s="716"/>
      <c r="F150" s="716"/>
      <c r="G150" s="716"/>
      <c r="H150" s="343">
        <f>H148/H149</f>
        <v>523.7745555555554</v>
      </c>
    </row>
    <row r="151" spans="1:8" ht="15">
      <c r="A151" s="151"/>
      <c r="B151" s="151"/>
      <c r="C151" s="151"/>
      <c r="D151" s="151"/>
      <c r="E151" s="151"/>
      <c r="F151" s="151"/>
      <c r="G151" s="151"/>
      <c r="H151" s="159"/>
    </row>
    <row r="152" spans="1:8" ht="24" customHeight="1">
      <c r="A152" s="717" t="s">
        <v>1166</v>
      </c>
      <c r="B152" s="717"/>
      <c r="C152" s="717"/>
      <c r="D152" s="717"/>
      <c r="E152" s="717"/>
      <c r="F152" s="717"/>
      <c r="G152" s="717"/>
      <c r="H152" s="717"/>
    </row>
  </sheetData>
  <sheetProtection password="CC3A" sheet="1" formatCells="0"/>
  <mergeCells count="6">
    <mergeCell ref="A146:G146"/>
    <mergeCell ref="A147:G147"/>
    <mergeCell ref="A148:G148"/>
    <mergeCell ref="A149:G149"/>
    <mergeCell ref="A150:G150"/>
    <mergeCell ref="A152:H152"/>
  </mergeCells>
  <printOptions/>
  <pageMargins left="0.511811024" right="0.511811024" top="0.787401575" bottom="0.787401575" header="0.31496062" footer="0.31496062"/>
  <pageSetup fitToHeight="0" fitToWidth="1"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sheetPr>
    <pageSetUpPr fitToPage="1"/>
  </sheetPr>
  <dimension ref="A1:J29"/>
  <sheetViews>
    <sheetView showGridLines="0" view="pageBreakPreview" zoomScaleSheetLayoutView="100" zoomScalePageLayoutView="0" workbookViewId="0" topLeftCell="A22">
      <selection activeCell="F6" sqref="F6"/>
    </sheetView>
  </sheetViews>
  <sheetFormatPr defaultColWidth="8.7109375" defaultRowHeight="15"/>
  <cols>
    <col min="1" max="1" width="5.140625" style="292" customWidth="1"/>
    <col min="2" max="2" width="48.140625" style="292" customWidth="1"/>
    <col min="3" max="3" width="15.28125" style="306" customWidth="1"/>
    <col min="4" max="4" width="8.7109375" style="307" customWidth="1"/>
    <col min="5" max="5" width="8.7109375" style="308" customWidth="1"/>
    <col min="6" max="7" width="8.7109375" style="307" customWidth="1"/>
    <col min="8" max="8" width="11.8515625" style="292" customWidth="1"/>
    <col min="9" max="9" width="15.140625" style="292" customWidth="1"/>
    <col min="10" max="10" width="9.57421875" style="292" bestFit="1" customWidth="1"/>
    <col min="11" max="16384" width="8.7109375" style="292" customWidth="1"/>
  </cols>
  <sheetData>
    <row r="1" spans="1:9" ht="15" customHeight="1">
      <c r="A1" s="718" t="s">
        <v>266</v>
      </c>
      <c r="B1" s="718"/>
      <c r="C1" s="718"/>
      <c r="D1" s="718"/>
      <c r="E1" s="718"/>
      <c r="F1" s="718"/>
      <c r="G1" s="718"/>
      <c r="H1" s="718"/>
      <c r="I1" s="718"/>
    </row>
    <row r="2" spans="1:9" ht="25.5">
      <c r="A2" s="252" t="s">
        <v>263</v>
      </c>
      <c r="B2" s="252" t="s">
        <v>495</v>
      </c>
      <c r="C2" s="293" t="s">
        <v>738</v>
      </c>
      <c r="D2" s="252" t="s">
        <v>264</v>
      </c>
      <c r="E2" s="253" t="s">
        <v>275</v>
      </c>
      <c r="F2" s="293" t="s">
        <v>306</v>
      </c>
      <c r="G2" s="293" t="s">
        <v>573</v>
      </c>
      <c r="H2" s="293" t="s">
        <v>661</v>
      </c>
      <c r="I2" s="253" t="s">
        <v>694</v>
      </c>
    </row>
    <row r="3" spans="1:10" ht="51">
      <c r="A3" s="217">
        <v>1</v>
      </c>
      <c r="B3" s="294" t="s">
        <v>568</v>
      </c>
      <c r="C3" s="160" t="s">
        <v>888</v>
      </c>
      <c r="D3" s="160" t="s">
        <v>264</v>
      </c>
      <c r="E3" s="161">
        <v>255344</v>
      </c>
      <c r="F3" s="162">
        <v>30</v>
      </c>
      <c r="G3" s="177">
        <v>1</v>
      </c>
      <c r="H3" s="353">
        <v>139.86</v>
      </c>
      <c r="I3" s="163">
        <f>ROUND(H3/F3,2)</f>
        <v>4.66</v>
      </c>
      <c r="J3" s="295"/>
    </row>
    <row r="4" spans="1:10" s="301" customFormat="1" ht="12.75">
      <c r="A4" s="217">
        <v>2</v>
      </c>
      <c r="B4" s="296" t="s">
        <v>889</v>
      </c>
      <c r="C4" s="297" t="s">
        <v>890</v>
      </c>
      <c r="D4" s="297" t="s">
        <v>264</v>
      </c>
      <c r="E4" s="298">
        <v>481181</v>
      </c>
      <c r="F4" s="299">
        <v>30</v>
      </c>
      <c r="G4" s="300">
        <v>1</v>
      </c>
      <c r="H4" s="353">
        <v>917.89</v>
      </c>
      <c r="I4" s="163">
        <f aca="true" t="shared" si="0" ref="I4:I23">ROUND(H4/F4,2)</f>
        <v>30.6</v>
      </c>
      <c r="J4" s="302"/>
    </row>
    <row r="5" spans="1:9" ht="38.25">
      <c r="A5" s="217">
        <v>3</v>
      </c>
      <c r="B5" s="303" t="s">
        <v>891</v>
      </c>
      <c r="C5" s="155" t="s">
        <v>892</v>
      </c>
      <c r="D5" s="155" t="s">
        <v>264</v>
      </c>
      <c r="E5" s="156">
        <v>259534</v>
      </c>
      <c r="F5" s="165">
        <v>30</v>
      </c>
      <c r="G5" s="174">
        <v>2</v>
      </c>
      <c r="H5" s="353">
        <v>2140.87</v>
      </c>
      <c r="I5" s="163">
        <f t="shared" si="0"/>
        <v>71.36</v>
      </c>
    </row>
    <row r="6" spans="1:9" ht="76.5">
      <c r="A6" s="217">
        <v>4</v>
      </c>
      <c r="B6" s="303" t="s">
        <v>569</v>
      </c>
      <c r="C6" s="155" t="s">
        <v>893</v>
      </c>
      <c r="D6" s="155" t="s">
        <v>264</v>
      </c>
      <c r="E6" s="156">
        <v>32166</v>
      </c>
      <c r="F6" s="165">
        <v>30</v>
      </c>
      <c r="G6" s="174">
        <v>2</v>
      </c>
      <c r="H6" s="353">
        <v>1448.44</v>
      </c>
      <c r="I6" s="163">
        <f t="shared" si="0"/>
        <v>48.28</v>
      </c>
    </row>
    <row r="7" spans="1:9" ht="25.5">
      <c r="A7" s="217">
        <v>5</v>
      </c>
      <c r="B7" s="303" t="s">
        <v>570</v>
      </c>
      <c r="C7" s="155" t="s">
        <v>894</v>
      </c>
      <c r="D7" s="155" t="s">
        <v>264</v>
      </c>
      <c r="E7" s="156">
        <v>8869</v>
      </c>
      <c r="F7" s="165">
        <v>30</v>
      </c>
      <c r="G7" s="174">
        <v>2</v>
      </c>
      <c r="H7" s="353">
        <v>59.89</v>
      </c>
      <c r="I7" s="163">
        <f t="shared" si="0"/>
        <v>2</v>
      </c>
    </row>
    <row r="8" spans="1:9" ht="38.25">
      <c r="A8" s="217">
        <v>6</v>
      </c>
      <c r="B8" s="303" t="s">
        <v>571</v>
      </c>
      <c r="C8" s="155" t="s">
        <v>888</v>
      </c>
      <c r="D8" s="155" t="s">
        <v>264</v>
      </c>
      <c r="E8" s="156">
        <v>235153</v>
      </c>
      <c r="F8" s="165">
        <v>30</v>
      </c>
      <c r="G8" s="174">
        <v>2</v>
      </c>
      <c r="H8" s="353">
        <v>150.71</v>
      </c>
      <c r="I8" s="163">
        <f t="shared" si="0"/>
        <v>5.02</v>
      </c>
    </row>
    <row r="9" spans="1:9" ht="38.25">
      <c r="A9" s="217">
        <v>7</v>
      </c>
      <c r="B9" s="303" t="s">
        <v>895</v>
      </c>
      <c r="C9" s="155" t="s">
        <v>896</v>
      </c>
      <c r="D9" s="155" t="s">
        <v>264</v>
      </c>
      <c r="E9" s="156">
        <v>378826</v>
      </c>
      <c r="F9" s="165">
        <v>30</v>
      </c>
      <c r="G9" s="174">
        <v>2</v>
      </c>
      <c r="H9" s="353">
        <v>139.07</v>
      </c>
      <c r="I9" s="163">
        <f t="shared" si="0"/>
        <v>4.64</v>
      </c>
    </row>
    <row r="10" spans="1:9" ht="63.75">
      <c r="A10" s="217">
        <v>8</v>
      </c>
      <c r="B10" s="303" t="s">
        <v>897</v>
      </c>
      <c r="C10" s="155" t="s">
        <v>898</v>
      </c>
      <c r="D10" s="155" t="s">
        <v>264</v>
      </c>
      <c r="E10" s="156">
        <v>292705</v>
      </c>
      <c r="F10" s="165">
        <v>30</v>
      </c>
      <c r="G10" s="174">
        <v>1</v>
      </c>
      <c r="H10" s="353">
        <v>776.08</v>
      </c>
      <c r="I10" s="163">
        <f t="shared" si="0"/>
        <v>25.87</v>
      </c>
    </row>
    <row r="11" spans="1:9" ht="38.25">
      <c r="A11" s="217">
        <v>9</v>
      </c>
      <c r="B11" s="303" t="s">
        <v>899</v>
      </c>
      <c r="C11" s="155" t="s">
        <v>900</v>
      </c>
      <c r="D11" s="155" t="s">
        <v>264</v>
      </c>
      <c r="E11" s="156">
        <v>423356</v>
      </c>
      <c r="F11" s="165">
        <v>30</v>
      </c>
      <c r="G11" s="174">
        <v>2</v>
      </c>
      <c r="H11" s="353">
        <v>440.97</v>
      </c>
      <c r="I11" s="163">
        <f t="shared" si="0"/>
        <v>14.7</v>
      </c>
    </row>
    <row r="12" spans="1:9" ht="38.25">
      <c r="A12" s="217">
        <v>10</v>
      </c>
      <c r="B12" s="303" t="s">
        <v>901</v>
      </c>
      <c r="C12" s="155" t="s">
        <v>902</v>
      </c>
      <c r="D12" s="155" t="s">
        <v>264</v>
      </c>
      <c r="E12" s="156">
        <v>305581</v>
      </c>
      <c r="F12" s="165">
        <v>30</v>
      </c>
      <c r="G12" s="174">
        <v>2</v>
      </c>
      <c r="H12" s="353">
        <v>1004.12</v>
      </c>
      <c r="I12" s="163">
        <f t="shared" si="0"/>
        <v>33.47</v>
      </c>
    </row>
    <row r="13" spans="1:9" ht="25.5">
      <c r="A13" s="217">
        <v>11</v>
      </c>
      <c r="B13" s="304" t="s">
        <v>903</v>
      </c>
      <c r="C13" s="155" t="s">
        <v>904</v>
      </c>
      <c r="D13" s="164" t="s">
        <v>264</v>
      </c>
      <c r="E13" s="156"/>
      <c r="F13" s="165">
        <v>30</v>
      </c>
      <c r="G13" s="178">
        <v>2</v>
      </c>
      <c r="H13" s="353">
        <v>3784.65</v>
      </c>
      <c r="I13" s="163">
        <f t="shared" si="0"/>
        <v>126.16</v>
      </c>
    </row>
    <row r="14" spans="1:9" ht="12.75">
      <c r="A14" s="217">
        <v>12</v>
      </c>
      <c r="B14" s="304" t="s">
        <v>905</v>
      </c>
      <c r="C14" s="155" t="s">
        <v>906</v>
      </c>
      <c r="D14" s="164" t="s">
        <v>264</v>
      </c>
      <c r="E14" s="156"/>
      <c r="F14" s="165">
        <v>30</v>
      </c>
      <c r="G14" s="178">
        <v>1</v>
      </c>
      <c r="H14" s="353">
        <v>309.6</v>
      </c>
      <c r="I14" s="163">
        <f t="shared" si="0"/>
        <v>10.32</v>
      </c>
    </row>
    <row r="15" spans="1:9" ht="12.75">
      <c r="A15" s="217">
        <v>13</v>
      </c>
      <c r="B15" s="304" t="s">
        <v>907</v>
      </c>
      <c r="C15" s="155" t="s">
        <v>908</v>
      </c>
      <c r="D15" s="164" t="s">
        <v>264</v>
      </c>
      <c r="E15" s="156">
        <v>245530</v>
      </c>
      <c r="F15" s="157">
        <v>60</v>
      </c>
      <c r="G15" s="164">
        <v>2</v>
      </c>
      <c r="H15" s="353">
        <v>40.1</v>
      </c>
      <c r="I15" s="163">
        <f t="shared" si="0"/>
        <v>0.67</v>
      </c>
    </row>
    <row r="16" spans="1:9" ht="25.5">
      <c r="A16" s="217">
        <v>14</v>
      </c>
      <c r="B16" s="303" t="s">
        <v>909</v>
      </c>
      <c r="C16" s="155" t="s">
        <v>910</v>
      </c>
      <c r="D16" s="164" t="s">
        <v>264</v>
      </c>
      <c r="E16" s="156">
        <v>150149</v>
      </c>
      <c r="F16" s="157">
        <v>60</v>
      </c>
      <c r="G16" s="164">
        <v>1</v>
      </c>
      <c r="H16" s="353">
        <v>147.24</v>
      </c>
      <c r="I16" s="163">
        <f t="shared" si="0"/>
        <v>2.45</v>
      </c>
    </row>
    <row r="17" spans="1:9" ht="25.5">
      <c r="A17" s="217">
        <v>15</v>
      </c>
      <c r="B17" s="303" t="s">
        <v>572</v>
      </c>
      <c r="C17" s="155" t="s">
        <v>911</v>
      </c>
      <c r="D17" s="164" t="s">
        <v>264</v>
      </c>
      <c r="E17" s="158">
        <v>469390</v>
      </c>
      <c r="F17" s="157">
        <v>60</v>
      </c>
      <c r="G17" s="164">
        <v>1</v>
      </c>
      <c r="H17" s="353">
        <v>3671</v>
      </c>
      <c r="I17" s="163">
        <f t="shared" si="0"/>
        <v>61.18</v>
      </c>
    </row>
    <row r="18" spans="1:9" ht="51">
      <c r="A18" s="217">
        <v>16</v>
      </c>
      <c r="B18" s="303" t="s">
        <v>912</v>
      </c>
      <c r="C18" s="158" t="s">
        <v>913</v>
      </c>
      <c r="D18" s="156" t="s">
        <v>264</v>
      </c>
      <c r="E18" s="305"/>
      <c r="F18" s="156">
        <v>60</v>
      </c>
      <c r="G18" s="156">
        <v>1</v>
      </c>
      <c r="H18" s="353">
        <v>137.07</v>
      </c>
      <c r="I18" s="163">
        <f t="shared" si="0"/>
        <v>2.28</v>
      </c>
    </row>
    <row r="19" spans="1:9" ht="140.25">
      <c r="A19" s="217">
        <v>17</v>
      </c>
      <c r="B19" s="303" t="s">
        <v>914</v>
      </c>
      <c r="C19" s="158" t="s">
        <v>915</v>
      </c>
      <c r="D19" s="156" t="s">
        <v>264</v>
      </c>
      <c r="E19" s="305">
        <v>341885</v>
      </c>
      <c r="F19" s="156">
        <v>60</v>
      </c>
      <c r="G19" s="156">
        <v>1</v>
      </c>
      <c r="H19" s="353">
        <v>328.97</v>
      </c>
      <c r="I19" s="163">
        <f t="shared" si="0"/>
        <v>5.48</v>
      </c>
    </row>
    <row r="20" spans="1:9" ht="30">
      <c r="A20" s="217">
        <v>18</v>
      </c>
      <c r="B20" s="423" t="s">
        <v>916</v>
      </c>
      <c r="C20" s="158" t="s">
        <v>917</v>
      </c>
      <c r="D20" s="156" t="s">
        <v>264</v>
      </c>
      <c r="E20" s="305">
        <v>480821</v>
      </c>
      <c r="F20" s="156">
        <v>60</v>
      </c>
      <c r="G20" s="156">
        <v>1</v>
      </c>
      <c r="H20" s="353">
        <v>2402.65</v>
      </c>
      <c r="I20" s="163">
        <f t="shared" si="0"/>
        <v>40.04</v>
      </c>
    </row>
    <row r="21" spans="1:9" ht="15">
      <c r="A21" s="217">
        <v>19</v>
      </c>
      <c r="B21" s="424" t="s">
        <v>918</v>
      </c>
      <c r="C21" s="158" t="s">
        <v>919</v>
      </c>
      <c r="D21" s="156" t="s">
        <v>264</v>
      </c>
      <c r="E21" s="305">
        <v>481441</v>
      </c>
      <c r="F21" s="156">
        <v>60</v>
      </c>
      <c r="G21" s="156">
        <v>1</v>
      </c>
      <c r="H21" s="353">
        <v>440.18</v>
      </c>
      <c r="I21" s="163">
        <f t="shared" si="0"/>
        <v>7.34</v>
      </c>
    </row>
    <row r="22" spans="1:9" ht="15">
      <c r="A22" s="217">
        <v>20</v>
      </c>
      <c r="B22" s="423" t="s">
        <v>920</v>
      </c>
      <c r="C22" s="158"/>
      <c r="D22" s="156" t="s">
        <v>264</v>
      </c>
      <c r="E22" s="305"/>
      <c r="F22" s="156">
        <v>60</v>
      </c>
      <c r="G22" s="156">
        <v>1</v>
      </c>
      <c r="H22" s="353">
        <v>117.84</v>
      </c>
      <c r="I22" s="163">
        <f t="shared" si="0"/>
        <v>1.96</v>
      </c>
    </row>
    <row r="23" spans="1:9" ht="30">
      <c r="A23" s="217">
        <v>21</v>
      </c>
      <c r="B23" s="423" t="s">
        <v>921</v>
      </c>
      <c r="C23" s="158" t="s">
        <v>922</v>
      </c>
      <c r="D23" s="156" t="s">
        <v>264</v>
      </c>
      <c r="E23" s="305"/>
      <c r="F23" s="156">
        <v>60</v>
      </c>
      <c r="G23" s="156">
        <v>1</v>
      </c>
      <c r="H23" s="353">
        <v>33.01</v>
      </c>
      <c r="I23" s="163">
        <f t="shared" si="0"/>
        <v>0.55</v>
      </c>
    </row>
    <row r="24" spans="1:9" ht="12.75" customHeight="1">
      <c r="A24" s="723" t="s">
        <v>695</v>
      </c>
      <c r="B24" s="724"/>
      <c r="C24" s="724"/>
      <c r="D24" s="724"/>
      <c r="E24" s="724"/>
      <c r="F24" s="724"/>
      <c r="G24" s="724"/>
      <c r="H24" s="724"/>
      <c r="I24" s="346">
        <f>SUM(I3:I23)</f>
        <v>499.03</v>
      </c>
    </row>
    <row r="25" spans="1:9" ht="12.75" customHeight="1">
      <c r="A25" s="721" t="s">
        <v>578</v>
      </c>
      <c r="B25" s="722"/>
      <c r="C25" s="722"/>
      <c r="D25" s="722"/>
      <c r="E25" s="722"/>
      <c r="F25" s="722"/>
      <c r="G25" s="722"/>
      <c r="H25" s="722"/>
      <c r="I25" s="356">
        <v>3</v>
      </c>
    </row>
    <row r="26" spans="1:9" ht="12.75" customHeight="1">
      <c r="A26" s="719" t="s">
        <v>696</v>
      </c>
      <c r="B26" s="720"/>
      <c r="C26" s="720"/>
      <c r="D26" s="720"/>
      <c r="E26" s="720"/>
      <c r="F26" s="720"/>
      <c r="G26" s="720"/>
      <c r="H26" s="720"/>
      <c r="I26" s="346">
        <f>ROUND(I24/I25,2)</f>
        <v>166.34</v>
      </c>
    </row>
    <row r="27" spans="1:9" ht="12.75">
      <c r="A27" s="166"/>
      <c r="B27" s="166"/>
      <c r="C27" s="166"/>
      <c r="D27" s="166"/>
      <c r="E27" s="166"/>
      <c r="F27" s="166"/>
      <c r="G27" s="166"/>
      <c r="H27" s="167"/>
      <c r="I27" s="167"/>
    </row>
    <row r="28" spans="1:9" ht="12.75">
      <c r="A28" s="166"/>
      <c r="B28" s="166"/>
      <c r="C28" s="166"/>
      <c r="D28" s="166"/>
      <c r="E28" s="166"/>
      <c r="F28" s="166"/>
      <c r="G28" s="166"/>
      <c r="H28" s="167"/>
      <c r="I28" s="167"/>
    </row>
    <row r="29" spans="1:9" ht="15">
      <c r="A29" s="701" t="s">
        <v>642</v>
      </c>
      <c r="B29" s="702"/>
      <c r="C29" s="702"/>
      <c r="D29" s="702"/>
      <c r="E29" s="702"/>
      <c r="F29" s="702"/>
      <c r="G29" s="702"/>
      <c r="H29" s="702"/>
      <c r="I29" s="702"/>
    </row>
  </sheetData>
  <sheetProtection password="CC3A" sheet="1" formatCells="0"/>
  <mergeCells count="5">
    <mergeCell ref="A1:I1"/>
    <mergeCell ref="A29:I29"/>
    <mergeCell ref="A26:H26"/>
    <mergeCell ref="A25:H25"/>
    <mergeCell ref="A24:H24"/>
  </mergeCells>
  <printOptions/>
  <pageMargins left="0.511811024" right="0.511811024" top="0.787401575" bottom="0.787401575" header="0.31496062" footer="0.31496062"/>
  <pageSetup fitToHeight="0" fitToWidth="1" horizontalDpi="300" verticalDpi="300" orientation="portrait" paperSize="9" scale="72" r:id="rId1"/>
</worksheet>
</file>

<file path=xl/worksheets/sheet13.xml><?xml version="1.0" encoding="utf-8"?>
<worksheet xmlns="http://schemas.openxmlformats.org/spreadsheetml/2006/main" xmlns:r="http://schemas.openxmlformats.org/officeDocument/2006/relationships">
  <sheetPr>
    <pageSetUpPr fitToPage="1"/>
  </sheetPr>
  <dimension ref="A1:I9"/>
  <sheetViews>
    <sheetView showGridLines="0" view="pageBreakPreview" zoomScale="110" zoomScaleNormal="115" zoomScaleSheetLayoutView="110" zoomScalePageLayoutView="0" workbookViewId="0" topLeftCell="A1">
      <selection activeCell="F12" sqref="F12"/>
    </sheetView>
  </sheetViews>
  <sheetFormatPr defaultColWidth="16.421875" defaultRowHeight="15"/>
  <cols>
    <col min="1" max="1" width="7.8515625" style="210" customWidth="1"/>
    <col min="2" max="2" width="27.421875" style="216" bestFit="1" customWidth="1"/>
    <col min="3" max="3" width="31.421875" style="208" customWidth="1"/>
    <col min="4" max="5" width="11.00390625" style="208" customWidth="1"/>
    <col min="6" max="6" width="11.8515625" style="208" bestFit="1" customWidth="1"/>
    <col min="7" max="7" width="13.8515625" style="208" bestFit="1" customWidth="1"/>
    <col min="8" max="8" width="16.421875" style="208" customWidth="1"/>
    <col min="9" max="12" width="16.421875" style="209" customWidth="1"/>
    <col min="13" max="16384" width="16.421875" style="210" customWidth="1"/>
  </cols>
  <sheetData>
    <row r="1" spans="1:7" ht="12">
      <c r="A1" s="726" t="s">
        <v>1129</v>
      </c>
      <c r="B1" s="726"/>
      <c r="C1" s="726"/>
      <c r="D1" s="726"/>
      <c r="E1" s="726"/>
      <c r="F1" s="726"/>
      <c r="G1" s="726"/>
    </row>
    <row r="2" spans="1:7" ht="24">
      <c r="A2" s="211" t="s">
        <v>603</v>
      </c>
      <c r="B2" s="211" t="s">
        <v>617</v>
      </c>
      <c r="C2" s="211" t="s">
        <v>619</v>
      </c>
      <c r="D2" s="211" t="s">
        <v>605</v>
      </c>
      <c r="E2" s="212" t="s">
        <v>1130</v>
      </c>
      <c r="F2" s="212" t="s">
        <v>692</v>
      </c>
      <c r="G2" s="212" t="s">
        <v>1127</v>
      </c>
    </row>
    <row r="3" spans="1:7" ht="12">
      <c r="A3" s="213">
        <v>1</v>
      </c>
      <c r="B3" s="213" t="s">
        <v>620</v>
      </c>
      <c r="C3" s="213" t="s">
        <v>607</v>
      </c>
      <c r="D3" s="213" t="s">
        <v>585</v>
      </c>
      <c r="E3" s="214">
        <v>1292</v>
      </c>
      <c r="F3" s="370">
        <v>247.27</v>
      </c>
      <c r="G3" s="264">
        <f>ROUND(E3*F3,2)</f>
        <v>319472.84</v>
      </c>
    </row>
    <row r="4" spans="1:9" ht="12">
      <c r="A4" s="213">
        <v>3</v>
      </c>
      <c r="B4" s="213" t="s">
        <v>621</v>
      </c>
      <c r="C4" s="213" t="s">
        <v>608</v>
      </c>
      <c r="D4" s="213" t="s">
        <v>622</v>
      </c>
      <c r="E4" s="214">
        <v>75</v>
      </c>
      <c r="F4" s="370">
        <v>1204.8</v>
      </c>
      <c r="G4" s="264">
        <f>ROUND(E4*F4,2)</f>
        <v>90360</v>
      </c>
      <c r="I4" s="365"/>
    </row>
    <row r="5" spans="1:7" ht="12">
      <c r="A5" s="213">
        <v>4</v>
      </c>
      <c r="B5" s="213" t="s">
        <v>1126</v>
      </c>
      <c r="C5" s="215" t="s">
        <v>1125</v>
      </c>
      <c r="D5" s="213" t="s">
        <v>1128</v>
      </c>
      <c r="E5" s="214">
        <v>431</v>
      </c>
      <c r="F5" s="370">
        <v>241.57</v>
      </c>
      <c r="G5" s="264">
        <f>ROUND(E5*F5,2)</f>
        <v>104116.67</v>
      </c>
    </row>
    <row r="6" spans="1:7" ht="12">
      <c r="A6" s="213">
        <v>5</v>
      </c>
      <c r="B6" s="213" t="s">
        <v>615</v>
      </c>
      <c r="C6" s="213" t="s">
        <v>616</v>
      </c>
      <c r="D6" s="213" t="s">
        <v>623</v>
      </c>
      <c r="E6" s="214">
        <v>73</v>
      </c>
      <c r="F6" s="370">
        <v>186.83</v>
      </c>
      <c r="G6" s="264">
        <f>ROUND(E6*F6,2)</f>
        <v>13638.59</v>
      </c>
    </row>
    <row r="7" spans="1:7" ht="15" customHeight="1">
      <c r="A7" s="727" t="s">
        <v>631</v>
      </c>
      <c r="B7" s="728"/>
      <c r="C7" s="728"/>
      <c r="D7" s="728"/>
      <c r="E7" s="728"/>
      <c r="F7" s="729"/>
      <c r="G7" s="421">
        <f>SUM(G3:G6)</f>
        <v>527588.1</v>
      </c>
    </row>
    <row r="8" spans="1:7" ht="12">
      <c r="A8" s="725" t="s">
        <v>1166</v>
      </c>
      <c r="B8" s="725"/>
      <c r="C8" s="725"/>
      <c r="D8" s="725"/>
      <c r="E8" s="725"/>
      <c r="F8" s="725"/>
      <c r="G8" s="725"/>
    </row>
    <row r="9" spans="1:7" ht="12">
      <c r="A9" s="725" t="s">
        <v>683</v>
      </c>
      <c r="B9" s="725"/>
      <c r="C9" s="725"/>
      <c r="D9" s="725"/>
      <c r="E9" s="725"/>
      <c r="F9" s="725"/>
      <c r="G9" s="725"/>
    </row>
  </sheetData>
  <sheetProtection password="CC3A" sheet="1" formatCells="0"/>
  <mergeCells count="4">
    <mergeCell ref="A8:G8"/>
    <mergeCell ref="A9:G9"/>
    <mergeCell ref="A1:G1"/>
    <mergeCell ref="A7:F7"/>
  </mergeCells>
  <printOptions/>
  <pageMargins left="0.511811024" right="0.511811024" top="0.787401575" bottom="0.787401575" header="0.31496062" footer="0.31496062"/>
  <pageSetup fitToHeight="0" fitToWidth="1" horizontalDpi="600" verticalDpi="600" orientation="portrait" paperSize="9" scale="80" r:id="rId1"/>
</worksheet>
</file>

<file path=xl/worksheets/sheet14.xml><?xml version="1.0" encoding="utf-8"?>
<worksheet xmlns="http://schemas.openxmlformats.org/spreadsheetml/2006/main" xmlns:r="http://schemas.openxmlformats.org/officeDocument/2006/relationships">
  <sheetPr>
    <pageSetUpPr fitToPage="1"/>
  </sheetPr>
  <dimension ref="A1:I195"/>
  <sheetViews>
    <sheetView showGridLines="0" view="pageBreakPreview" zoomScale="60" zoomScalePageLayoutView="0" workbookViewId="0" topLeftCell="A172">
      <selection activeCell="C5" sqref="C5"/>
    </sheetView>
  </sheetViews>
  <sheetFormatPr defaultColWidth="8.7109375" defaultRowHeight="15"/>
  <cols>
    <col min="1" max="1" width="5.140625" style="110" bestFit="1" customWidth="1"/>
    <col min="2" max="2" width="79.00390625" style="312" customWidth="1"/>
    <col min="3" max="3" width="19.140625" style="312" bestFit="1" customWidth="1"/>
    <col min="4" max="4" width="14.7109375" style="171" customWidth="1"/>
    <col min="5" max="5" width="13.00390625" style="171" customWidth="1"/>
    <col min="6" max="6" width="16.8515625" style="171" customWidth="1"/>
    <col min="7" max="7" width="13.8515625" style="171" customWidth="1"/>
    <col min="8" max="8" width="13.8515625" style="110" customWidth="1"/>
    <col min="9" max="9" width="17.8515625" style="171" customWidth="1"/>
    <col min="10" max="16384" width="8.7109375" style="110" customWidth="1"/>
  </cols>
  <sheetData>
    <row r="1" spans="1:9" ht="15.75">
      <c r="A1" s="730" t="s">
        <v>1137</v>
      </c>
      <c r="B1" s="730"/>
      <c r="C1" s="730"/>
      <c r="D1" s="730"/>
      <c r="E1" s="730"/>
      <c r="F1" s="730"/>
      <c r="G1" s="730"/>
      <c r="H1" s="730"/>
      <c r="I1" s="730"/>
    </row>
    <row r="2" spans="1:9" ht="65.25" customHeight="1">
      <c r="A2" s="417" t="s">
        <v>263</v>
      </c>
      <c r="B2" s="417" t="s">
        <v>312</v>
      </c>
      <c r="C2" s="347" t="s">
        <v>923</v>
      </c>
      <c r="D2" s="417" t="s">
        <v>275</v>
      </c>
      <c r="E2" s="417" t="s">
        <v>924</v>
      </c>
      <c r="F2" s="417" t="s">
        <v>262</v>
      </c>
      <c r="G2" s="260" t="s">
        <v>1163</v>
      </c>
      <c r="H2" s="260" t="s">
        <v>455</v>
      </c>
      <c r="I2" s="416" t="s">
        <v>1135</v>
      </c>
    </row>
    <row r="3" spans="1:9" ht="30">
      <c r="A3" s="179">
        <v>1</v>
      </c>
      <c r="B3" s="125" t="s">
        <v>313</v>
      </c>
      <c r="C3" s="125" t="s">
        <v>925</v>
      </c>
      <c r="D3" s="126">
        <v>441136</v>
      </c>
      <c r="E3" s="126"/>
      <c r="F3" s="126" t="s">
        <v>262</v>
      </c>
      <c r="G3" s="179">
        <v>500</v>
      </c>
      <c r="H3" s="371">
        <v>18.35</v>
      </c>
      <c r="I3" s="113">
        <f>H3*G3</f>
        <v>9175</v>
      </c>
    </row>
    <row r="4" spans="1:9" ht="15">
      <c r="A4" s="179">
        <v>2</v>
      </c>
      <c r="B4" s="125" t="s">
        <v>314</v>
      </c>
      <c r="C4" s="125" t="s">
        <v>926</v>
      </c>
      <c r="D4" s="126">
        <v>438067</v>
      </c>
      <c r="E4" s="126"/>
      <c r="F4" s="126" t="s">
        <v>262</v>
      </c>
      <c r="G4" s="179">
        <v>50</v>
      </c>
      <c r="H4" s="371">
        <v>16.91</v>
      </c>
      <c r="I4" s="113">
        <f aca="true" t="shared" si="0" ref="I4:I67">H4*G4</f>
        <v>845.5</v>
      </c>
    </row>
    <row r="5" spans="1:9" ht="39.75" customHeight="1">
      <c r="A5" s="179">
        <v>3</v>
      </c>
      <c r="B5" s="125" t="s">
        <v>927</v>
      </c>
      <c r="C5" s="125" t="s">
        <v>928</v>
      </c>
      <c r="D5" s="126">
        <v>435129</v>
      </c>
      <c r="E5" s="126"/>
      <c r="F5" s="126" t="s">
        <v>262</v>
      </c>
      <c r="G5" s="179">
        <v>70</v>
      </c>
      <c r="H5" s="371">
        <v>28.34</v>
      </c>
      <c r="I5" s="113">
        <f t="shared" si="0"/>
        <v>1983.8</v>
      </c>
    </row>
    <row r="6" spans="1:9" ht="15">
      <c r="A6" s="179">
        <v>4</v>
      </c>
      <c r="B6" s="125" t="s">
        <v>929</v>
      </c>
      <c r="C6" s="125" t="s">
        <v>930</v>
      </c>
      <c r="D6" s="126">
        <v>298927</v>
      </c>
      <c r="E6" s="126"/>
      <c r="F6" s="126" t="s">
        <v>262</v>
      </c>
      <c r="G6" s="179">
        <v>100</v>
      </c>
      <c r="H6" s="371">
        <v>24.61</v>
      </c>
      <c r="I6" s="113">
        <f t="shared" si="0"/>
        <v>2461</v>
      </c>
    </row>
    <row r="7" spans="1:9" ht="30">
      <c r="A7" s="179">
        <v>5</v>
      </c>
      <c r="B7" s="125" t="s">
        <v>931</v>
      </c>
      <c r="C7" s="125" t="s">
        <v>930</v>
      </c>
      <c r="D7" s="126">
        <v>419859</v>
      </c>
      <c r="E7" s="126"/>
      <c r="F7" s="126" t="s">
        <v>262</v>
      </c>
      <c r="G7" s="179">
        <v>500</v>
      </c>
      <c r="H7" s="371">
        <v>10.25</v>
      </c>
      <c r="I7" s="113">
        <f t="shared" si="0"/>
        <v>5125</v>
      </c>
    </row>
    <row r="8" spans="1:9" ht="30">
      <c r="A8" s="179">
        <v>6</v>
      </c>
      <c r="B8" s="125" t="s">
        <v>932</v>
      </c>
      <c r="C8" s="125" t="s">
        <v>930</v>
      </c>
      <c r="D8" s="126">
        <v>403984</v>
      </c>
      <c r="E8" s="126"/>
      <c r="F8" s="126" t="s">
        <v>262</v>
      </c>
      <c r="G8" s="179">
        <v>1000</v>
      </c>
      <c r="H8" s="371">
        <v>12.59</v>
      </c>
      <c r="I8" s="113">
        <f t="shared" si="0"/>
        <v>12590</v>
      </c>
    </row>
    <row r="9" spans="1:9" ht="30">
      <c r="A9" s="179">
        <v>7</v>
      </c>
      <c r="B9" s="125" t="s">
        <v>315</v>
      </c>
      <c r="C9" s="125" t="s">
        <v>933</v>
      </c>
      <c r="D9" s="126">
        <v>390635</v>
      </c>
      <c r="E9" s="126"/>
      <c r="F9" s="126" t="s">
        <v>316</v>
      </c>
      <c r="G9" s="179">
        <v>200</v>
      </c>
      <c r="H9" s="371">
        <v>0.78</v>
      </c>
      <c r="I9" s="113">
        <f t="shared" si="0"/>
        <v>156</v>
      </c>
    </row>
    <row r="10" spans="1:9" ht="15">
      <c r="A10" s="179">
        <v>8</v>
      </c>
      <c r="B10" s="125" t="s">
        <v>317</v>
      </c>
      <c r="C10" s="125" t="s">
        <v>934</v>
      </c>
      <c r="D10" s="126">
        <v>367831</v>
      </c>
      <c r="E10" s="126"/>
      <c r="F10" s="126" t="s">
        <v>935</v>
      </c>
      <c r="G10" s="179">
        <v>1</v>
      </c>
      <c r="H10" s="371">
        <v>244.89</v>
      </c>
      <c r="I10" s="113">
        <f t="shared" si="0"/>
        <v>244.89</v>
      </c>
    </row>
    <row r="11" spans="1:9" ht="15">
      <c r="A11" s="179">
        <v>9</v>
      </c>
      <c r="B11" s="125" t="s">
        <v>319</v>
      </c>
      <c r="C11" s="125" t="s">
        <v>936</v>
      </c>
      <c r="D11" s="126">
        <v>426453</v>
      </c>
      <c r="E11" s="126"/>
      <c r="F11" s="126" t="s">
        <v>320</v>
      </c>
      <c r="G11" s="179">
        <v>350</v>
      </c>
      <c r="H11" s="371">
        <v>20.35</v>
      </c>
      <c r="I11" s="113">
        <f t="shared" si="0"/>
        <v>7122.500000000001</v>
      </c>
    </row>
    <row r="12" spans="1:9" ht="30">
      <c r="A12" s="179">
        <v>10</v>
      </c>
      <c r="B12" s="125" t="s">
        <v>321</v>
      </c>
      <c r="C12" s="125" t="s">
        <v>937</v>
      </c>
      <c r="D12" s="126">
        <v>441133</v>
      </c>
      <c r="E12" s="126"/>
      <c r="F12" s="126" t="s">
        <v>262</v>
      </c>
      <c r="G12" s="179">
        <v>3000</v>
      </c>
      <c r="H12" s="371">
        <v>13.43</v>
      </c>
      <c r="I12" s="113">
        <f t="shared" si="0"/>
        <v>40290</v>
      </c>
    </row>
    <row r="13" spans="1:9" ht="15">
      <c r="A13" s="179">
        <v>11</v>
      </c>
      <c r="B13" s="125" t="s">
        <v>322</v>
      </c>
      <c r="C13" s="125" t="s">
        <v>938</v>
      </c>
      <c r="D13" s="126">
        <v>444603</v>
      </c>
      <c r="E13" s="126"/>
      <c r="F13" s="126" t="s">
        <v>320</v>
      </c>
      <c r="G13" s="179">
        <v>4000</v>
      </c>
      <c r="H13" s="371">
        <v>17.77</v>
      </c>
      <c r="I13" s="113">
        <f t="shared" si="0"/>
        <v>71080</v>
      </c>
    </row>
    <row r="14" spans="1:9" ht="30">
      <c r="A14" s="179">
        <v>12</v>
      </c>
      <c r="B14" s="125" t="s">
        <v>939</v>
      </c>
      <c r="C14" s="125" t="s">
        <v>940</v>
      </c>
      <c r="D14" s="126">
        <v>265016</v>
      </c>
      <c r="E14" s="126"/>
      <c r="F14" s="126" t="s">
        <v>320</v>
      </c>
      <c r="G14" s="179">
        <v>200</v>
      </c>
      <c r="H14" s="371">
        <v>34.52</v>
      </c>
      <c r="I14" s="113">
        <f t="shared" si="0"/>
        <v>6904.000000000001</v>
      </c>
    </row>
    <row r="15" spans="1:9" ht="30">
      <c r="A15" s="179">
        <v>13</v>
      </c>
      <c r="B15" s="125" t="s">
        <v>323</v>
      </c>
      <c r="C15" s="125" t="s">
        <v>941</v>
      </c>
      <c r="D15" s="126">
        <v>294441</v>
      </c>
      <c r="E15" s="126"/>
      <c r="F15" s="126" t="s">
        <v>320</v>
      </c>
      <c r="G15" s="179">
        <v>300</v>
      </c>
      <c r="H15" s="371">
        <v>23.14</v>
      </c>
      <c r="I15" s="113">
        <f t="shared" si="0"/>
        <v>6942</v>
      </c>
    </row>
    <row r="16" spans="1:9" ht="30">
      <c r="A16" s="179">
        <v>14</v>
      </c>
      <c r="B16" s="125" t="s">
        <v>324</v>
      </c>
      <c r="C16" s="125" t="s">
        <v>1160</v>
      </c>
      <c r="D16" s="126">
        <v>335702</v>
      </c>
      <c r="E16" s="126"/>
      <c r="F16" s="126" t="s">
        <v>320</v>
      </c>
      <c r="G16" s="179">
        <v>100</v>
      </c>
      <c r="H16" s="371">
        <v>11.49</v>
      </c>
      <c r="I16" s="113">
        <f t="shared" si="0"/>
        <v>1149</v>
      </c>
    </row>
    <row r="17" spans="1:9" ht="15">
      <c r="A17" s="179">
        <v>15</v>
      </c>
      <c r="B17" s="125" t="s">
        <v>325</v>
      </c>
      <c r="C17" s="125" t="s">
        <v>942</v>
      </c>
      <c r="D17" s="126">
        <v>271396</v>
      </c>
      <c r="E17" s="126"/>
      <c r="F17" s="126" t="s">
        <v>320</v>
      </c>
      <c r="G17" s="179">
        <v>50</v>
      </c>
      <c r="H17" s="371">
        <v>0.19</v>
      </c>
      <c r="I17" s="113">
        <f t="shared" si="0"/>
        <v>9.5</v>
      </c>
    </row>
    <row r="18" spans="1:9" ht="45">
      <c r="A18" s="179">
        <v>16</v>
      </c>
      <c r="B18" s="125" t="s">
        <v>448</v>
      </c>
      <c r="C18" s="125" t="s">
        <v>943</v>
      </c>
      <c r="D18" s="126">
        <v>329581</v>
      </c>
      <c r="E18" s="126"/>
      <c r="F18" s="126" t="s">
        <v>944</v>
      </c>
      <c r="G18" s="126">
        <v>20</v>
      </c>
      <c r="H18" s="371">
        <v>124.7</v>
      </c>
      <c r="I18" s="113">
        <f t="shared" si="0"/>
        <v>2494</v>
      </c>
    </row>
    <row r="19" spans="1:9" ht="45">
      <c r="A19" s="179">
        <v>17</v>
      </c>
      <c r="B19" s="125" t="s">
        <v>449</v>
      </c>
      <c r="C19" s="125" t="s">
        <v>943</v>
      </c>
      <c r="D19" s="126">
        <v>329744</v>
      </c>
      <c r="E19" s="126"/>
      <c r="F19" s="126" t="s">
        <v>944</v>
      </c>
      <c r="G19" s="126">
        <v>120</v>
      </c>
      <c r="H19" s="371">
        <v>189.17</v>
      </c>
      <c r="I19" s="113">
        <f t="shared" si="0"/>
        <v>22700.399999999998</v>
      </c>
    </row>
    <row r="20" spans="1:9" ht="60">
      <c r="A20" s="179">
        <v>18</v>
      </c>
      <c r="B20" s="125" t="s">
        <v>450</v>
      </c>
      <c r="C20" s="125" t="s">
        <v>945</v>
      </c>
      <c r="D20" s="126">
        <v>343152</v>
      </c>
      <c r="E20" s="126"/>
      <c r="F20" s="126" t="s">
        <v>326</v>
      </c>
      <c r="G20" s="126">
        <v>2</v>
      </c>
      <c r="H20" s="371">
        <v>472.91</v>
      </c>
      <c r="I20" s="113">
        <f t="shared" si="0"/>
        <v>945.82</v>
      </c>
    </row>
    <row r="21" spans="1:9" ht="60">
      <c r="A21" s="179">
        <v>19</v>
      </c>
      <c r="B21" s="125" t="s">
        <v>451</v>
      </c>
      <c r="C21" s="125" t="s">
        <v>945</v>
      </c>
      <c r="D21" s="126">
        <v>324951</v>
      </c>
      <c r="E21" s="126"/>
      <c r="F21" s="126" t="s">
        <v>326</v>
      </c>
      <c r="G21" s="126">
        <v>5</v>
      </c>
      <c r="H21" s="371">
        <v>780.73</v>
      </c>
      <c r="I21" s="113">
        <f t="shared" si="0"/>
        <v>3903.65</v>
      </c>
    </row>
    <row r="22" spans="1:9" ht="30">
      <c r="A22" s="179">
        <v>20</v>
      </c>
      <c r="B22" s="125" t="s">
        <v>452</v>
      </c>
      <c r="C22" s="125" t="s">
        <v>946</v>
      </c>
      <c r="D22" s="126">
        <v>307381</v>
      </c>
      <c r="E22" s="126"/>
      <c r="F22" s="126" t="s">
        <v>262</v>
      </c>
      <c r="G22" s="126">
        <v>600</v>
      </c>
      <c r="H22" s="371">
        <v>7.98</v>
      </c>
      <c r="I22" s="113">
        <f t="shared" si="0"/>
        <v>4788</v>
      </c>
    </row>
    <row r="23" spans="1:9" ht="45">
      <c r="A23" s="179">
        <v>21</v>
      </c>
      <c r="B23" s="125" t="s">
        <v>453</v>
      </c>
      <c r="C23" s="125" t="s">
        <v>947</v>
      </c>
      <c r="D23" s="126">
        <v>456104</v>
      </c>
      <c r="E23" s="126"/>
      <c r="F23" s="126" t="s">
        <v>262</v>
      </c>
      <c r="G23" s="179">
        <v>300</v>
      </c>
      <c r="H23" s="371">
        <v>56.79</v>
      </c>
      <c r="I23" s="113">
        <f t="shared" si="0"/>
        <v>17037</v>
      </c>
    </row>
    <row r="24" spans="1:9" ht="45">
      <c r="A24" s="179">
        <v>22</v>
      </c>
      <c r="B24" s="125" t="s">
        <v>454</v>
      </c>
      <c r="C24" s="125" t="s">
        <v>947</v>
      </c>
      <c r="D24" s="126">
        <v>428544</v>
      </c>
      <c r="E24" s="126"/>
      <c r="F24" s="136" t="s">
        <v>262</v>
      </c>
      <c r="G24" s="168">
        <v>30</v>
      </c>
      <c r="H24" s="371">
        <v>81.14</v>
      </c>
      <c r="I24" s="113">
        <f t="shared" si="0"/>
        <v>2434.2</v>
      </c>
    </row>
    <row r="25" spans="1:9" ht="30">
      <c r="A25" s="179">
        <v>23</v>
      </c>
      <c r="B25" s="125" t="s">
        <v>436</v>
      </c>
      <c r="C25" s="125" t="s">
        <v>947</v>
      </c>
      <c r="D25" s="126">
        <v>408712</v>
      </c>
      <c r="E25" s="126"/>
      <c r="F25" s="136" t="s">
        <v>262</v>
      </c>
      <c r="G25" s="168">
        <v>80</v>
      </c>
      <c r="H25" s="371">
        <v>20.45</v>
      </c>
      <c r="I25" s="113">
        <f t="shared" si="0"/>
        <v>1636</v>
      </c>
    </row>
    <row r="26" spans="1:9" ht="30">
      <c r="A26" s="179">
        <v>24</v>
      </c>
      <c r="B26" s="125" t="s">
        <v>437</v>
      </c>
      <c r="C26" s="125" t="s">
        <v>947</v>
      </c>
      <c r="D26" s="126">
        <v>408713</v>
      </c>
      <c r="E26" s="126"/>
      <c r="F26" s="136" t="s">
        <v>262</v>
      </c>
      <c r="G26" s="168">
        <v>80</v>
      </c>
      <c r="H26" s="371">
        <v>22.85</v>
      </c>
      <c r="I26" s="113">
        <f t="shared" si="0"/>
        <v>1828</v>
      </c>
    </row>
    <row r="27" spans="1:9" ht="60">
      <c r="A27" s="179">
        <v>25</v>
      </c>
      <c r="B27" s="125" t="s">
        <v>438</v>
      </c>
      <c r="C27" s="125" t="s">
        <v>948</v>
      </c>
      <c r="D27" s="126">
        <v>373710</v>
      </c>
      <c r="E27" s="126"/>
      <c r="F27" s="136" t="s">
        <v>262</v>
      </c>
      <c r="G27" s="168">
        <v>400</v>
      </c>
      <c r="H27" s="371">
        <v>6.31</v>
      </c>
      <c r="I27" s="113">
        <f t="shared" si="0"/>
        <v>2524</v>
      </c>
    </row>
    <row r="28" spans="1:9" ht="45">
      <c r="A28" s="179">
        <v>26</v>
      </c>
      <c r="B28" s="125" t="s">
        <v>439</v>
      </c>
      <c r="C28" s="125" t="s">
        <v>949</v>
      </c>
      <c r="D28" s="126">
        <v>394695</v>
      </c>
      <c r="E28" s="126"/>
      <c r="F28" s="136" t="s">
        <v>262</v>
      </c>
      <c r="G28" s="168">
        <v>400</v>
      </c>
      <c r="H28" s="371">
        <v>48.84</v>
      </c>
      <c r="I28" s="113">
        <f t="shared" si="0"/>
        <v>19536</v>
      </c>
    </row>
    <row r="29" spans="1:9" ht="30">
      <c r="A29" s="179">
        <v>27</v>
      </c>
      <c r="B29" s="125" t="s">
        <v>440</v>
      </c>
      <c r="C29" s="125" t="s">
        <v>950</v>
      </c>
      <c r="D29" s="126">
        <v>402151</v>
      </c>
      <c r="E29" s="126"/>
      <c r="F29" s="136" t="s">
        <v>262</v>
      </c>
      <c r="G29" s="168">
        <v>600</v>
      </c>
      <c r="H29" s="371">
        <v>2.01</v>
      </c>
      <c r="I29" s="113">
        <f t="shared" si="0"/>
        <v>1205.9999999999998</v>
      </c>
    </row>
    <row r="30" spans="1:9" ht="75">
      <c r="A30" s="179">
        <v>28</v>
      </c>
      <c r="B30" s="125" t="s">
        <v>441</v>
      </c>
      <c r="C30" s="125" t="s">
        <v>951</v>
      </c>
      <c r="D30" s="126">
        <v>429933</v>
      </c>
      <c r="E30" s="126"/>
      <c r="F30" s="136" t="s">
        <v>262</v>
      </c>
      <c r="G30" s="168">
        <v>300</v>
      </c>
      <c r="H30" s="371">
        <v>92.6</v>
      </c>
      <c r="I30" s="113">
        <f t="shared" si="0"/>
        <v>27780</v>
      </c>
    </row>
    <row r="31" spans="1:9" ht="45">
      <c r="A31" s="179">
        <v>29</v>
      </c>
      <c r="B31" s="125" t="s">
        <v>442</v>
      </c>
      <c r="C31" s="125" t="s">
        <v>952</v>
      </c>
      <c r="D31" s="126">
        <v>150758</v>
      </c>
      <c r="E31" s="126"/>
      <c r="F31" s="136" t="s">
        <v>262</v>
      </c>
      <c r="G31" s="168">
        <v>250</v>
      </c>
      <c r="H31" s="371">
        <v>82.91</v>
      </c>
      <c r="I31" s="113">
        <f t="shared" si="0"/>
        <v>20727.5</v>
      </c>
    </row>
    <row r="32" spans="1:9" ht="30">
      <c r="A32" s="179">
        <v>30</v>
      </c>
      <c r="B32" s="125" t="s">
        <v>443</v>
      </c>
      <c r="C32" s="125" t="s">
        <v>953</v>
      </c>
      <c r="D32" s="126">
        <v>254410</v>
      </c>
      <c r="E32" s="126"/>
      <c r="F32" s="136" t="s">
        <v>262</v>
      </c>
      <c r="G32" s="168">
        <v>300</v>
      </c>
      <c r="H32" s="371">
        <v>139.66</v>
      </c>
      <c r="I32" s="113">
        <f t="shared" si="0"/>
        <v>41898</v>
      </c>
    </row>
    <row r="33" spans="1:9" ht="60">
      <c r="A33" s="179">
        <v>31</v>
      </c>
      <c r="B33" s="125" t="s">
        <v>444</v>
      </c>
      <c r="C33" s="125" t="s">
        <v>954</v>
      </c>
      <c r="D33" s="126">
        <v>398129</v>
      </c>
      <c r="E33" s="126"/>
      <c r="F33" s="136" t="s">
        <v>327</v>
      </c>
      <c r="G33" s="168">
        <v>300</v>
      </c>
      <c r="H33" s="371">
        <v>114.99</v>
      </c>
      <c r="I33" s="113">
        <f t="shared" si="0"/>
        <v>34497</v>
      </c>
    </row>
    <row r="34" spans="1:9" ht="45">
      <c r="A34" s="179">
        <v>32</v>
      </c>
      <c r="B34" s="125" t="s">
        <v>445</v>
      </c>
      <c r="C34" s="125" t="s">
        <v>955</v>
      </c>
      <c r="D34" s="126">
        <v>352796</v>
      </c>
      <c r="E34" s="126"/>
      <c r="F34" s="136" t="s">
        <v>262</v>
      </c>
      <c r="G34" s="168">
        <v>300</v>
      </c>
      <c r="H34" s="371">
        <v>65.04</v>
      </c>
      <c r="I34" s="113">
        <f t="shared" si="0"/>
        <v>19512.000000000004</v>
      </c>
    </row>
    <row r="35" spans="1:9" ht="30">
      <c r="A35" s="179">
        <v>33</v>
      </c>
      <c r="B35" s="125" t="s">
        <v>446</v>
      </c>
      <c r="C35" s="125" t="s">
        <v>942</v>
      </c>
      <c r="D35" s="126">
        <v>384012</v>
      </c>
      <c r="E35" s="126"/>
      <c r="F35" s="126" t="s">
        <v>262</v>
      </c>
      <c r="G35" s="179">
        <v>200</v>
      </c>
      <c r="H35" s="371">
        <v>22.6</v>
      </c>
      <c r="I35" s="113">
        <f t="shared" si="0"/>
        <v>4520</v>
      </c>
    </row>
    <row r="36" spans="1:9" ht="75">
      <c r="A36" s="179">
        <v>34</v>
      </c>
      <c r="B36" s="125" t="s">
        <v>447</v>
      </c>
      <c r="C36" s="125" t="s">
        <v>956</v>
      </c>
      <c r="D36" s="126">
        <v>350862</v>
      </c>
      <c r="E36" s="126"/>
      <c r="F36" s="126" t="s">
        <v>328</v>
      </c>
      <c r="G36" s="126">
        <v>1000</v>
      </c>
      <c r="H36" s="371">
        <v>13.03</v>
      </c>
      <c r="I36" s="113">
        <f t="shared" si="0"/>
        <v>13030</v>
      </c>
    </row>
    <row r="37" spans="1:9" ht="66.75" customHeight="1">
      <c r="A37" s="179">
        <v>35</v>
      </c>
      <c r="B37" s="125" t="s">
        <v>429</v>
      </c>
      <c r="C37" s="125" t="s">
        <v>956</v>
      </c>
      <c r="D37" s="126">
        <v>226409</v>
      </c>
      <c r="E37" s="126"/>
      <c r="F37" s="126" t="s">
        <v>328</v>
      </c>
      <c r="G37" s="126">
        <v>500</v>
      </c>
      <c r="H37" s="371">
        <v>11.84</v>
      </c>
      <c r="I37" s="113">
        <f t="shared" si="0"/>
        <v>5920</v>
      </c>
    </row>
    <row r="38" spans="1:9" ht="60">
      <c r="A38" s="179">
        <v>36</v>
      </c>
      <c r="B38" s="125" t="s">
        <v>430</v>
      </c>
      <c r="C38" s="125" t="s">
        <v>956</v>
      </c>
      <c r="D38" s="126">
        <v>313467</v>
      </c>
      <c r="E38" s="126"/>
      <c r="F38" s="126" t="s">
        <v>328</v>
      </c>
      <c r="G38" s="126">
        <v>55</v>
      </c>
      <c r="H38" s="371">
        <v>40.06</v>
      </c>
      <c r="I38" s="113">
        <f t="shared" si="0"/>
        <v>2203.3</v>
      </c>
    </row>
    <row r="39" spans="1:9" ht="60">
      <c r="A39" s="179">
        <v>37</v>
      </c>
      <c r="B39" s="125" t="s">
        <v>431</v>
      </c>
      <c r="C39" s="125" t="s">
        <v>956</v>
      </c>
      <c r="D39" s="126">
        <v>223504</v>
      </c>
      <c r="E39" s="126"/>
      <c r="F39" s="126" t="s">
        <v>329</v>
      </c>
      <c r="G39" s="179">
        <v>100</v>
      </c>
      <c r="H39" s="371">
        <v>95.65</v>
      </c>
      <c r="I39" s="113">
        <f t="shared" si="0"/>
        <v>9565</v>
      </c>
    </row>
    <row r="40" spans="1:9" ht="90">
      <c r="A40" s="179">
        <v>38</v>
      </c>
      <c r="B40" s="125" t="s">
        <v>432</v>
      </c>
      <c r="C40" s="125" t="s">
        <v>957</v>
      </c>
      <c r="D40" s="126">
        <v>233059</v>
      </c>
      <c r="E40" s="126"/>
      <c r="F40" s="126" t="s">
        <v>328</v>
      </c>
      <c r="G40" s="179">
        <v>250</v>
      </c>
      <c r="H40" s="371">
        <v>33.31</v>
      </c>
      <c r="I40" s="113">
        <f t="shared" si="0"/>
        <v>8327.5</v>
      </c>
    </row>
    <row r="41" spans="1:9" ht="30">
      <c r="A41" s="179">
        <v>39</v>
      </c>
      <c r="B41" s="125" t="s">
        <v>433</v>
      </c>
      <c r="C41" s="125" t="s">
        <v>958</v>
      </c>
      <c r="D41" s="126">
        <v>462357</v>
      </c>
      <c r="E41" s="126"/>
      <c r="F41" s="126" t="s">
        <v>330</v>
      </c>
      <c r="G41" s="179">
        <v>100</v>
      </c>
      <c r="H41" s="371">
        <v>34.17</v>
      </c>
      <c r="I41" s="113">
        <f t="shared" si="0"/>
        <v>3417</v>
      </c>
    </row>
    <row r="42" spans="1:9" ht="30">
      <c r="A42" s="179">
        <v>40</v>
      </c>
      <c r="B42" s="125" t="s">
        <v>434</v>
      </c>
      <c r="C42" s="125" t="s">
        <v>958</v>
      </c>
      <c r="D42" s="126">
        <v>462354</v>
      </c>
      <c r="E42" s="126"/>
      <c r="F42" s="126" t="s">
        <v>330</v>
      </c>
      <c r="G42" s="179">
        <v>100</v>
      </c>
      <c r="H42" s="371">
        <v>29.32</v>
      </c>
      <c r="I42" s="113">
        <f t="shared" si="0"/>
        <v>2932</v>
      </c>
    </row>
    <row r="43" spans="1:9" ht="45">
      <c r="A43" s="179">
        <v>41</v>
      </c>
      <c r="B43" s="125" t="s">
        <v>435</v>
      </c>
      <c r="C43" s="125" t="s">
        <v>959</v>
      </c>
      <c r="D43" s="126">
        <v>383810</v>
      </c>
      <c r="E43" s="126"/>
      <c r="F43" s="126" t="s">
        <v>331</v>
      </c>
      <c r="G43" s="179">
        <v>500</v>
      </c>
      <c r="H43" s="371">
        <v>41.09</v>
      </c>
      <c r="I43" s="113">
        <f t="shared" si="0"/>
        <v>20545</v>
      </c>
    </row>
    <row r="44" spans="1:9" ht="60">
      <c r="A44" s="179">
        <v>42</v>
      </c>
      <c r="B44" s="125" t="s">
        <v>960</v>
      </c>
      <c r="C44" s="125" t="s">
        <v>961</v>
      </c>
      <c r="D44" s="126">
        <v>392441</v>
      </c>
      <c r="E44" s="126"/>
      <c r="F44" s="126" t="s">
        <v>962</v>
      </c>
      <c r="G44" s="179">
        <v>1500</v>
      </c>
      <c r="H44" s="371">
        <v>371.49</v>
      </c>
      <c r="I44" s="113">
        <f t="shared" si="0"/>
        <v>557235</v>
      </c>
    </row>
    <row r="45" spans="1:9" ht="45">
      <c r="A45" s="179">
        <v>43</v>
      </c>
      <c r="B45" s="310" t="s">
        <v>963</v>
      </c>
      <c r="C45" s="311" t="s">
        <v>964</v>
      </c>
      <c r="D45" s="112">
        <v>399887</v>
      </c>
      <c r="E45" s="112"/>
      <c r="F45" s="112" t="s">
        <v>965</v>
      </c>
      <c r="G45" s="179">
        <v>125</v>
      </c>
      <c r="H45" s="371">
        <v>15.38</v>
      </c>
      <c r="I45" s="113">
        <f t="shared" si="0"/>
        <v>1922.5</v>
      </c>
    </row>
    <row r="46" spans="1:9" ht="15">
      <c r="A46" s="179">
        <v>44</v>
      </c>
      <c r="B46" s="310" t="s">
        <v>966</v>
      </c>
      <c r="C46" s="311" t="s">
        <v>967</v>
      </c>
      <c r="D46" s="112">
        <v>328544</v>
      </c>
      <c r="E46" s="112"/>
      <c r="F46" s="112" t="s">
        <v>968</v>
      </c>
      <c r="G46" s="179">
        <v>125</v>
      </c>
      <c r="H46" s="371">
        <v>6.5</v>
      </c>
      <c r="I46" s="113">
        <f t="shared" si="0"/>
        <v>812.5</v>
      </c>
    </row>
    <row r="47" spans="1:9" ht="30">
      <c r="A47" s="179">
        <v>45</v>
      </c>
      <c r="B47" s="310" t="s">
        <v>969</v>
      </c>
      <c r="C47" s="311" t="s">
        <v>970</v>
      </c>
      <c r="D47" s="112" t="s">
        <v>942</v>
      </c>
      <c r="E47" s="112"/>
      <c r="F47" s="112" t="s">
        <v>971</v>
      </c>
      <c r="G47" s="179">
        <v>125</v>
      </c>
      <c r="H47" s="371">
        <v>29.04</v>
      </c>
      <c r="I47" s="113">
        <f t="shared" si="0"/>
        <v>3630</v>
      </c>
    </row>
    <row r="48" spans="1:9" ht="30">
      <c r="A48" s="179">
        <v>46</v>
      </c>
      <c r="B48" s="310" t="s">
        <v>972</v>
      </c>
      <c r="C48" s="311" t="s">
        <v>942</v>
      </c>
      <c r="D48" s="112">
        <v>231428</v>
      </c>
      <c r="E48" s="112"/>
      <c r="F48" s="425" t="s">
        <v>973</v>
      </c>
      <c r="G48" s="179">
        <v>75</v>
      </c>
      <c r="H48" s="371">
        <v>22.63</v>
      </c>
      <c r="I48" s="113">
        <f t="shared" si="0"/>
        <v>1697.25</v>
      </c>
    </row>
    <row r="49" spans="1:9" ht="45">
      <c r="A49" s="179">
        <v>47</v>
      </c>
      <c r="B49" s="125" t="s">
        <v>426</v>
      </c>
      <c r="C49" s="125" t="s">
        <v>974</v>
      </c>
      <c r="D49" s="126">
        <v>449197</v>
      </c>
      <c r="E49" s="126"/>
      <c r="F49" s="126" t="s">
        <v>332</v>
      </c>
      <c r="G49" s="179">
        <v>50</v>
      </c>
      <c r="H49" s="371">
        <v>46.57</v>
      </c>
      <c r="I49" s="113">
        <f t="shared" si="0"/>
        <v>2328.5</v>
      </c>
    </row>
    <row r="50" spans="1:9" ht="30">
      <c r="A50" s="179">
        <v>48</v>
      </c>
      <c r="B50" s="125" t="s">
        <v>427</v>
      </c>
      <c r="C50" s="125" t="s">
        <v>975</v>
      </c>
      <c r="D50" s="126">
        <v>660137</v>
      </c>
      <c r="E50" s="126"/>
      <c r="F50" s="126" t="s">
        <v>262</v>
      </c>
      <c r="G50" s="179">
        <v>125</v>
      </c>
      <c r="H50" s="371">
        <v>29.9</v>
      </c>
      <c r="I50" s="113">
        <f t="shared" si="0"/>
        <v>3737.5</v>
      </c>
    </row>
    <row r="51" spans="1:9" ht="15">
      <c r="A51" s="179">
        <v>49</v>
      </c>
      <c r="B51" s="125" t="s">
        <v>428</v>
      </c>
      <c r="C51" s="125" t="s">
        <v>975</v>
      </c>
      <c r="D51" s="126">
        <v>10162</v>
      </c>
      <c r="E51" s="126"/>
      <c r="F51" s="126" t="s">
        <v>262</v>
      </c>
      <c r="G51" s="179">
        <v>100</v>
      </c>
      <c r="H51" s="371">
        <v>91.05</v>
      </c>
      <c r="I51" s="113">
        <f t="shared" si="0"/>
        <v>9105</v>
      </c>
    </row>
    <row r="52" spans="1:9" ht="15">
      <c r="A52" s="179">
        <v>50</v>
      </c>
      <c r="B52" s="311" t="s">
        <v>1098</v>
      </c>
      <c r="C52" s="311" t="s">
        <v>1099</v>
      </c>
      <c r="D52" s="112" t="s">
        <v>942</v>
      </c>
      <c r="E52" s="112"/>
      <c r="F52" s="112" t="s">
        <v>1091</v>
      </c>
      <c r="G52" s="112">
        <v>50</v>
      </c>
      <c r="H52" s="371">
        <v>13.42</v>
      </c>
      <c r="I52" s="113">
        <f>H52*G52</f>
        <v>671</v>
      </c>
    </row>
    <row r="53" spans="1:9" ht="60">
      <c r="A53" s="179">
        <v>51</v>
      </c>
      <c r="B53" s="125" t="s">
        <v>976</v>
      </c>
      <c r="C53" s="125" t="s">
        <v>977</v>
      </c>
      <c r="D53" s="126">
        <v>446224</v>
      </c>
      <c r="E53" s="126"/>
      <c r="F53" s="126" t="s">
        <v>262</v>
      </c>
      <c r="G53" s="126">
        <v>300</v>
      </c>
      <c r="H53" s="371">
        <v>54.61</v>
      </c>
      <c r="I53" s="113">
        <f t="shared" si="0"/>
        <v>16383</v>
      </c>
    </row>
    <row r="54" spans="1:9" ht="60">
      <c r="A54" s="179">
        <v>52</v>
      </c>
      <c r="B54" s="125" t="s">
        <v>421</v>
      </c>
      <c r="C54" s="125" t="s">
        <v>978</v>
      </c>
      <c r="D54" s="126">
        <v>394879</v>
      </c>
      <c r="E54" s="126"/>
      <c r="F54" s="126" t="s">
        <v>262</v>
      </c>
      <c r="G54" s="126">
        <v>300</v>
      </c>
      <c r="H54" s="371">
        <v>754.41</v>
      </c>
      <c r="I54" s="113">
        <f t="shared" si="0"/>
        <v>226323</v>
      </c>
    </row>
    <row r="55" spans="1:9" ht="143.25" customHeight="1">
      <c r="A55" s="179">
        <v>53</v>
      </c>
      <c r="B55" s="125" t="s">
        <v>422</v>
      </c>
      <c r="C55" s="125" t="s">
        <v>979</v>
      </c>
      <c r="D55" s="126">
        <v>407035</v>
      </c>
      <c r="E55" s="126"/>
      <c r="F55" s="126" t="s">
        <v>262</v>
      </c>
      <c r="G55" s="179">
        <v>300</v>
      </c>
      <c r="H55" s="371">
        <v>146.47</v>
      </c>
      <c r="I55" s="113">
        <f t="shared" si="0"/>
        <v>43941</v>
      </c>
    </row>
    <row r="56" spans="1:9" ht="90">
      <c r="A56" s="179">
        <v>54</v>
      </c>
      <c r="B56" s="125" t="s">
        <v>1161</v>
      </c>
      <c r="C56" s="125" t="s">
        <v>942</v>
      </c>
      <c r="D56" s="126">
        <v>424787</v>
      </c>
      <c r="E56" s="126"/>
      <c r="F56" s="126" t="s">
        <v>320</v>
      </c>
      <c r="G56" s="179">
        <v>180</v>
      </c>
      <c r="H56" s="371">
        <v>7.1</v>
      </c>
      <c r="I56" s="113">
        <f t="shared" si="0"/>
        <v>1278</v>
      </c>
    </row>
    <row r="57" spans="1:9" ht="105">
      <c r="A57" s="179">
        <v>55</v>
      </c>
      <c r="B57" s="125" t="s">
        <v>423</v>
      </c>
      <c r="C57" s="125" t="s">
        <v>943</v>
      </c>
      <c r="D57" s="126">
        <v>329744</v>
      </c>
      <c r="E57" s="126"/>
      <c r="F57" s="179" t="s">
        <v>316</v>
      </c>
      <c r="G57" s="179">
        <v>2000</v>
      </c>
      <c r="H57" s="371">
        <v>2.64</v>
      </c>
      <c r="I57" s="113">
        <f t="shared" si="0"/>
        <v>5280</v>
      </c>
    </row>
    <row r="58" spans="1:9" ht="75">
      <c r="A58" s="179">
        <v>56</v>
      </c>
      <c r="B58" s="125" t="s">
        <v>424</v>
      </c>
      <c r="C58" s="125" t="s">
        <v>943</v>
      </c>
      <c r="D58" s="126">
        <v>418908</v>
      </c>
      <c r="E58" s="126"/>
      <c r="F58" s="179" t="s">
        <v>316</v>
      </c>
      <c r="G58" s="179">
        <v>100</v>
      </c>
      <c r="H58" s="371">
        <v>1.25</v>
      </c>
      <c r="I58" s="113">
        <f t="shared" si="0"/>
        <v>125</v>
      </c>
    </row>
    <row r="59" spans="1:9" ht="90">
      <c r="A59" s="179">
        <v>57</v>
      </c>
      <c r="B59" s="125" t="s">
        <v>425</v>
      </c>
      <c r="C59" s="125" t="s">
        <v>943</v>
      </c>
      <c r="D59" s="126">
        <v>418910</v>
      </c>
      <c r="E59" s="126"/>
      <c r="F59" s="179" t="s">
        <v>316</v>
      </c>
      <c r="G59" s="179">
        <v>1000</v>
      </c>
      <c r="H59" s="371">
        <v>3.4</v>
      </c>
      <c r="I59" s="113">
        <f t="shared" si="0"/>
        <v>3400</v>
      </c>
    </row>
    <row r="60" spans="1:9" ht="105">
      <c r="A60" s="179">
        <v>58</v>
      </c>
      <c r="B60" s="125" t="s">
        <v>415</v>
      </c>
      <c r="C60" s="125" t="s">
        <v>980</v>
      </c>
      <c r="D60" s="126">
        <v>462114</v>
      </c>
      <c r="E60" s="126"/>
      <c r="F60" s="179" t="s">
        <v>316</v>
      </c>
      <c r="G60" s="179">
        <v>2000</v>
      </c>
      <c r="H60" s="371">
        <v>3.5</v>
      </c>
      <c r="I60" s="113">
        <f t="shared" si="0"/>
        <v>7000</v>
      </c>
    </row>
    <row r="61" spans="1:9" ht="75">
      <c r="A61" s="179">
        <v>59</v>
      </c>
      <c r="B61" s="125" t="s">
        <v>416</v>
      </c>
      <c r="C61" s="125" t="s">
        <v>943</v>
      </c>
      <c r="D61" s="126">
        <v>415720</v>
      </c>
      <c r="E61" s="126"/>
      <c r="F61" s="179" t="s">
        <v>316</v>
      </c>
      <c r="G61" s="179">
        <v>1000</v>
      </c>
      <c r="H61" s="371">
        <v>7.84</v>
      </c>
      <c r="I61" s="113">
        <f t="shared" si="0"/>
        <v>7840</v>
      </c>
    </row>
    <row r="62" spans="1:9" ht="90">
      <c r="A62" s="179">
        <v>60</v>
      </c>
      <c r="B62" s="125" t="s">
        <v>417</v>
      </c>
      <c r="C62" s="125" t="s">
        <v>943</v>
      </c>
      <c r="D62" s="126">
        <v>418908</v>
      </c>
      <c r="E62" s="126"/>
      <c r="F62" s="179" t="s">
        <v>316</v>
      </c>
      <c r="G62" s="179">
        <v>300</v>
      </c>
      <c r="H62" s="371">
        <v>1.19</v>
      </c>
      <c r="I62" s="113">
        <f t="shared" si="0"/>
        <v>357</v>
      </c>
    </row>
    <row r="63" spans="1:9" ht="90">
      <c r="A63" s="179">
        <v>61</v>
      </c>
      <c r="B63" s="125" t="s">
        <v>418</v>
      </c>
      <c r="C63" s="125" t="s">
        <v>943</v>
      </c>
      <c r="D63" s="126">
        <v>329744</v>
      </c>
      <c r="E63" s="126"/>
      <c r="F63" s="179" t="s">
        <v>316</v>
      </c>
      <c r="G63" s="179">
        <v>2000</v>
      </c>
      <c r="H63" s="371">
        <v>2.43</v>
      </c>
      <c r="I63" s="113">
        <f t="shared" si="0"/>
        <v>4860</v>
      </c>
    </row>
    <row r="64" spans="1:9" ht="90">
      <c r="A64" s="179">
        <v>62</v>
      </c>
      <c r="B64" s="125" t="s">
        <v>419</v>
      </c>
      <c r="C64" s="125" t="s">
        <v>943</v>
      </c>
      <c r="D64" s="126">
        <v>418910</v>
      </c>
      <c r="E64" s="126"/>
      <c r="F64" s="179" t="s">
        <v>316</v>
      </c>
      <c r="G64" s="179">
        <v>2000</v>
      </c>
      <c r="H64" s="371">
        <v>13.76</v>
      </c>
      <c r="I64" s="113">
        <f t="shared" si="0"/>
        <v>27520</v>
      </c>
    </row>
    <row r="65" spans="1:9" ht="60">
      <c r="A65" s="179">
        <v>63</v>
      </c>
      <c r="B65" s="125" t="s">
        <v>420</v>
      </c>
      <c r="C65" s="125" t="s">
        <v>933</v>
      </c>
      <c r="D65" s="126">
        <v>390365</v>
      </c>
      <c r="E65" s="126"/>
      <c r="F65" s="179" t="s">
        <v>316</v>
      </c>
      <c r="G65" s="179">
        <v>500</v>
      </c>
      <c r="H65" s="371">
        <v>0.78</v>
      </c>
      <c r="I65" s="113">
        <f t="shared" si="0"/>
        <v>390</v>
      </c>
    </row>
    <row r="66" spans="1:9" ht="75">
      <c r="A66" s="179">
        <v>64</v>
      </c>
      <c r="B66" s="125" t="s">
        <v>409</v>
      </c>
      <c r="C66" s="125" t="s">
        <v>943</v>
      </c>
      <c r="D66" s="126">
        <v>418908</v>
      </c>
      <c r="E66" s="126"/>
      <c r="F66" s="179" t="s">
        <v>316</v>
      </c>
      <c r="G66" s="179">
        <v>300</v>
      </c>
      <c r="H66" s="371">
        <v>1.48</v>
      </c>
      <c r="I66" s="113">
        <f t="shared" si="0"/>
        <v>444</v>
      </c>
    </row>
    <row r="67" spans="1:9" ht="75">
      <c r="A67" s="179">
        <v>65</v>
      </c>
      <c r="B67" s="125" t="s">
        <v>410</v>
      </c>
      <c r="C67" s="125" t="s">
        <v>943</v>
      </c>
      <c r="D67" s="126">
        <v>329744</v>
      </c>
      <c r="E67" s="126"/>
      <c r="F67" s="179" t="s">
        <v>316</v>
      </c>
      <c r="G67" s="179">
        <v>2000</v>
      </c>
      <c r="H67" s="371">
        <v>2.2</v>
      </c>
      <c r="I67" s="113">
        <f t="shared" si="0"/>
        <v>4400</v>
      </c>
    </row>
    <row r="68" spans="1:9" ht="90">
      <c r="A68" s="179">
        <v>66</v>
      </c>
      <c r="B68" s="125" t="s">
        <v>411</v>
      </c>
      <c r="C68" s="125" t="s">
        <v>943</v>
      </c>
      <c r="D68" s="126">
        <v>418910</v>
      </c>
      <c r="E68" s="126"/>
      <c r="F68" s="179" t="s">
        <v>316</v>
      </c>
      <c r="G68" s="179">
        <v>1000</v>
      </c>
      <c r="H68" s="371">
        <v>3.39</v>
      </c>
      <c r="I68" s="113">
        <f aca="true" t="shared" si="1" ref="I68:I131">H68*G68</f>
        <v>3390</v>
      </c>
    </row>
    <row r="69" spans="1:9" ht="75">
      <c r="A69" s="179">
        <v>67</v>
      </c>
      <c r="B69" s="125" t="s">
        <v>412</v>
      </c>
      <c r="C69" s="125" t="s">
        <v>943</v>
      </c>
      <c r="D69" s="126">
        <v>418908</v>
      </c>
      <c r="E69" s="126"/>
      <c r="F69" s="179" t="s">
        <v>316</v>
      </c>
      <c r="G69" s="179">
        <v>300</v>
      </c>
      <c r="H69" s="371">
        <v>1.31</v>
      </c>
      <c r="I69" s="113">
        <f t="shared" si="1"/>
        <v>393</v>
      </c>
    </row>
    <row r="70" spans="1:9" ht="90">
      <c r="A70" s="179">
        <v>68</v>
      </c>
      <c r="B70" s="125" t="s">
        <v>413</v>
      </c>
      <c r="C70" s="125" t="s">
        <v>943</v>
      </c>
      <c r="D70" s="126">
        <v>329744</v>
      </c>
      <c r="E70" s="126"/>
      <c r="F70" s="179" t="s">
        <v>316</v>
      </c>
      <c r="G70" s="179">
        <v>2000</v>
      </c>
      <c r="H70" s="371">
        <v>2.64</v>
      </c>
      <c r="I70" s="113">
        <f t="shared" si="1"/>
        <v>5280</v>
      </c>
    </row>
    <row r="71" spans="1:9" ht="90">
      <c r="A71" s="179">
        <v>69</v>
      </c>
      <c r="B71" s="125" t="s">
        <v>414</v>
      </c>
      <c r="C71" s="125" t="s">
        <v>943</v>
      </c>
      <c r="D71" s="126">
        <v>418910</v>
      </c>
      <c r="E71" s="126"/>
      <c r="F71" s="179" t="s">
        <v>316</v>
      </c>
      <c r="G71" s="179">
        <v>1000</v>
      </c>
      <c r="H71" s="371">
        <v>3.4</v>
      </c>
      <c r="I71" s="113">
        <f t="shared" si="1"/>
        <v>3400</v>
      </c>
    </row>
    <row r="72" spans="1:9" ht="45">
      <c r="A72" s="179">
        <v>70</v>
      </c>
      <c r="B72" s="125" t="s">
        <v>398</v>
      </c>
      <c r="C72" s="125" t="s">
        <v>981</v>
      </c>
      <c r="D72" s="126">
        <v>334034</v>
      </c>
      <c r="E72" s="126"/>
      <c r="F72" s="179" t="s">
        <v>316</v>
      </c>
      <c r="G72" s="179">
        <v>1000</v>
      </c>
      <c r="H72" s="371">
        <v>1.59</v>
      </c>
      <c r="I72" s="113">
        <f t="shared" si="1"/>
        <v>1590</v>
      </c>
    </row>
    <row r="73" spans="1:9" ht="60">
      <c r="A73" s="179">
        <v>71</v>
      </c>
      <c r="B73" s="125" t="s">
        <v>399</v>
      </c>
      <c r="C73" s="125" t="s">
        <v>982</v>
      </c>
      <c r="D73" s="126">
        <v>303955</v>
      </c>
      <c r="E73" s="126"/>
      <c r="F73" s="179" t="s">
        <v>320</v>
      </c>
      <c r="G73" s="179">
        <v>500</v>
      </c>
      <c r="H73" s="371">
        <v>0.96</v>
      </c>
      <c r="I73" s="113">
        <f t="shared" si="1"/>
        <v>480</v>
      </c>
    </row>
    <row r="74" spans="1:9" ht="30">
      <c r="A74" s="179">
        <v>72</v>
      </c>
      <c r="B74" s="125" t="s">
        <v>400</v>
      </c>
      <c r="C74" s="125" t="s">
        <v>983</v>
      </c>
      <c r="D74" s="126">
        <v>335485</v>
      </c>
      <c r="E74" s="126"/>
      <c r="F74" s="179" t="s">
        <v>320</v>
      </c>
      <c r="G74" s="179">
        <v>120</v>
      </c>
      <c r="H74" s="371">
        <v>5.49</v>
      </c>
      <c r="I74" s="113">
        <f t="shared" si="1"/>
        <v>658.8000000000001</v>
      </c>
    </row>
    <row r="75" spans="1:9" ht="30">
      <c r="A75" s="179">
        <v>73</v>
      </c>
      <c r="B75" s="125" t="s">
        <v>401</v>
      </c>
      <c r="C75" s="125" t="s">
        <v>1162</v>
      </c>
      <c r="D75" s="126">
        <v>328145</v>
      </c>
      <c r="E75" s="126"/>
      <c r="F75" s="179" t="s">
        <v>320</v>
      </c>
      <c r="G75" s="179">
        <v>200</v>
      </c>
      <c r="H75" s="371">
        <v>5.4</v>
      </c>
      <c r="I75" s="113">
        <f t="shared" si="1"/>
        <v>1080</v>
      </c>
    </row>
    <row r="76" spans="1:9" ht="75">
      <c r="A76" s="179">
        <v>74</v>
      </c>
      <c r="B76" s="125" t="s">
        <v>402</v>
      </c>
      <c r="C76" s="125" t="s">
        <v>984</v>
      </c>
      <c r="D76" s="126">
        <v>257635</v>
      </c>
      <c r="E76" s="126"/>
      <c r="F76" s="179" t="s">
        <v>267</v>
      </c>
      <c r="G76" s="179">
        <v>100</v>
      </c>
      <c r="H76" s="371">
        <v>8.41</v>
      </c>
      <c r="I76" s="113">
        <f t="shared" si="1"/>
        <v>841</v>
      </c>
    </row>
    <row r="77" spans="1:9" ht="51.75" customHeight="1">
      <c r="A77" s="179">
        <v>75</v>
      </c>
      <c r="B77" s="125" t="s">
        <v>689</v>
      </c>
      <c r="C77" s="125" t="s">
        <v>947</v>
      </c>
      <c r="D77" s="126">
        <v>456104</v>
      </c>
      <c r="E77" s="126"/>
      <c r="F77" s="179" t="s">
        <v>320</v>
      </c>
      <c r="G77" s="179">
        <v>500</v>
      </c>
      <c r="H77" s="371">
        <v>56.41</v>
      </c>
      <c r="I77" s="113">
        <f t="shared" si="1"/>
        <v>28205</v>
      </c>
    </row>
    <row r="78" spans="1:9" ht="45">
      <c r="A78" s="179">
        <v>76</v>
      </c>
      <c r="B78" s="125" t="s">
        <v>985</v>
      </c>
      <c r="C78" s="125" t="s">
        <v>986</v>
      </c>
      <c r="D78" s="126">
        <v>151037</v>
      </c>
      <c r="E78" s="126"/>
      <c r="F78" s="126" t="s">
        <v>987</v>
      </c>
      <c r="G78" s="179">
        <v>1000</v>
      </c>
      <c r="H78" s="371">
        <v>6.86</v>
      </c>
      <c r="I78" s="113">
        <f t="shared" si="1"/>
        <v>6860</v>
      </c>
    </row>
    <row r="79" spans="1:9" ht="30">
      <c r="A79" s="179">
        <v>77</v>
      </c>
      <c r="B79" s="125" t="s">
        <v>403</v>
      </c>
      <c r="C79" s="125" t="s">
        <v>988</v>
      </c>
      <c r="D79" s="126">
        <v>446784</v>
      </c>
      <c r="E79" s="126"/>
      <c r="F79" s="179" t="s">
        <v>320</v>
      </c>
      <c r="G79" s="179">
        <v>120</v>
      </c>
      <c r="H79" s="371">
        <v>3.3</v>
      </c>
      <c r="I79" s="113">
        <f t="shared" si="1"/>
        <v>396</v>
      </c>
    </row>
    <row r="80" spans="1:9" ht="30">
      <c r="A80" s="179">
        <v>78</v>
      </c>
      <c r="B80" s="125" t="s">
        <v>333</v>
      </c>
      <c r="C80" s="125" t="s">
        <v>988</v>
      </c>
      <c r="D80" s="126">
        <v>395770</v>
      </c>
      <c r="E80" s="126"/>
      <c r="F80" s="179" t="s">
        <v>320</v>
      </c>
      <c r="G80" s="179">
        <v>120</v>
      </c>
      <c r="H80" s="371">
        <v>7.23</v>
      </c>
      <c r="I80" s="113">
        <f t="shared" si="1"/>
        <v>867.6</v>
      </c>
    </row>
    <row r="81" spans="1:9" ht="45">
      <c r="A81" s="179">
        <v>79</v>
      </c>
      <c r="B81" s="125" t="s">
        <v>404</v>
      </c>
      <c r="C81" s="125" t="s">
        <v>989</v>
      </c>
      <c r="D81" s="126">
        <v>298202</v>
      </c>
      <c r="E81" s="126"/>
      <c r="F81" s="179" t="s">
        <v>320</v>
      </c>
      <c r="G81" s="179">
        <v>1000</v>
      </c>
      <c r="H81" s="371">
        <v>6.93</v>
      </c>
      <c r="I81" s="113">
        <f t="shared" si="1"/>
        <v>6930</v>
      </c>
    </row>
    <row r="82" spans="1:9" ht="30">
      <c r="A82" s="179">
        <v>80</v>
      </c>
      <c r="B82" s="125" t="s">
        <v>405</v>
      </c>
      <c r="C82" s="125" t="s">
        <v>990</v>
      </c>
      <c r="D82" s="126">
        <v>252645</v>
      </c>
      <c r="E82" s="126"/>
      <c r="F82" s="179" t="s">
        <v>320</v>
      </c>
      <c r="G82" s="179">
        <v>300</v>
      </c>
      <c r="H82" s="371">
        <v>6.63</v>
      </c>
      <c r="I82" s="113">
        <f t="shared" si="1"/>
        <v>1989</v>
      </c>
    </row>
    <row r="83" spans="1:9" ht="38.25" customHeight="1">
      <c r="A83" s="179">
        <v>81</v>
      </c>
      <c r="B83" s="125" t="s">
        <v>406</v>
      </c>
      <c r="C83" s="125" t="s">
        <v>991</v>
      </c>
      <c r="D83" s="126">
        <v>395746</v>
      </c>
      <c r="E83" s="126"/>
      <c r="F83" s="179" t="s">
        <v>320</v>
      </c>
      <c r="G83" s="179">
        <v>180</v>
      </c>
      <c r="H83" s="371">
        <v>27.83</v>
      </c>
      <c r="I83" s="113">
        <f t="shared" si="1"/>
        <v>5009.4</v>
      </c>
    </row>
    <row r="84" spans="1:9" ht="15">
      <c r="A84" s="179">
        <v>82</v>
      </c>
      <c r="B84" s="125" t="s">
        <v>407</v>
      </c>
      <c r="C84" s="125" t="s">
        <v>991</v>
      </c>
      <c r="D84" s="126">
        <v>3995745</v>
      </c>
      <c r="E84" s="126"/>
      <c r="F84" s="179" t="s">
        <v>320</v>
      </c>
      <c r="G84" s="179">
        <v>100</v>
      </c>
      <c r="H84" s="371">
        <v>37.14</v>
      </c>
      <c r="I84" s="113">
        <f t="shared" si="1"/>
        <v>3714</v>
      </c>
    </row>
    <row r="85" spans="1:9" ht="30">
      <c r="A85" s="179">
        <v>83</v>
      </c>
      <c r="B85" s="125" t="s">
        <v>408</v>
      </c>
      <c r="C85" s="125" t="s">
        <v>992</v>
      </c>
      <c r="D85" s="136">
        <v>422841</v>
      </c>
      <c r="E85" s="136"/>
      <c r="F85" s="168" t="s">
        <v>320</v>
      </c>
      <c r="G85" s="168">
        <v>150</v>
      </c>
      <c r="H85" s="371">
        <v>14.13</v>
      </c>
      <c r="I85" s="113">
        <f t="shared" si="1"/>
        <v>2119.5</v>
      </c>
    </row>
    <row r="86" spans="1:9" ht="15">
      <c r="A86" s="179">
        <v>84</v>
      </c>
      <c r="B86" s="125" t="s">
        <v>334</v>
      </c>
      <c r="C86" s="125" t="s">
        <v>993</v>
      </c>
      <c r="D86" s="136" t="s">
        <v>942</v>
      </c>
      <c r="E86" s="136"/>
      <c r="F86" s="168" t="s">
        <v>335</v>
      </c>
      <c r="G86" s="168">
        <v>225</v>
      </c>
      <c r="H86" s="371">
        <v>31.2</v>
      </c>
      <c r="I86" s="113">
        <f t="shared" si="1"/>
        <v>7020</v>
      </c>
    </row>
    <row r="87" spans="1:9" ht="15">
      <c r="A87" s="179">
        <v>85</v>
      </c>
      <c r="B87" s="125" t="s">
        <v>336</v>
      </c>
      <c r="C87" s="125" t="s">
        <v>993</v>
      </c>
      <c r="D87" s="136" t="s">
        <v>942</v>
      </c>
      <c r="E87" s="136"/>
      <c r="F87" s="168" t="s">
        <v>320</v>
      </c>
      <c r="G87" s="168">
        <v>225</v>
      </c>
      <c r="H87" s="371">
        <v>42.32</v>
      </c>
      <c r="I87" s="113">
        <f t="shared" si="1"/>
        <v>9522</v>
      </c>
    </row>
    <row r="88" spans="1:9" ht="15">
      <c r="A88" s="179">
        <v>86</v>
      </c>
      <c r="B88" s="125" t="s">
        <v>337</v>
      </c>
      <c r="C88" s="125" t="s">
        <v>993</v>
      </c>
      <c r="D88" s="136" t="s">
        <v>942</v>
      </c>
      <c r="E88" s="136"/>
      <c r="F88" s="168" t="s">
        <v>320</v>
      </c>
      <c r="G88" s="168">
        <v>225</v>
      </c>
      <c r="H88" s="371">
        <v>23.5</v>
      </c>
      <c r="I88" s="113">
        <f t="shared" si="1"/>
        <v>5287.5</v>
      </c>
    </row>
    <row r="89" spans="1:9" ht="15">
      <c r="A89" s="179">
        <v>87</v>
      </c>
      <c r="B89" s="125" t="s">
        <v>338</v>
      </c>
      <c r="C89" s="125" t="s">
        <v>994</v>
      </c>
      <c r="D89" s="136" t="s">
        <v>942</v>
      </c>
      <c r="E89" s="136"/>
      <c r="F89" s="168" t="s">
        <v>316</v>
      </c>
      <c r="G89" s="168">
        <v>450</v>
      </c>
      <c r="H89" s="371">
        <v>6.83</v>
      </c>
      <c r="I89" s="113">
        <f t="shared" si="1"/>
        <v>3073.5</v>
      </c>
    </row>
    <row r="90" spans="1:9" ht="15">
      <c r="A90" s="179">
        <v>88</v>
      </c>
      <c r="B90" s="125" t="s">
        <v>339</v>
      </c>
      <c r="C90" s="125" t="s">
        <v>993</v>
      </c>
      <c r="D90" s="136">
        <v>483174</v>
      </c>
      <c r="E90" s="136"/>
      <c r="F90" s="168" t="s">
        <v>320</v>
      </c>
      <c r="G90" s="168">
        <v>225</v>
      </c>
      <c r="H90" s="371">
        <v>11.42</v>
      </c>
      <c r="I90" s="113">
        <f t="shared" si="1"/>
        <v>2569.5</v>
      </c>
    </row>
    <row r="91" spans="1:9" ht="15">
      <c r="A91" s="179">
        <v>89</v>
      </c>
      <c r="B91" s="125" t="s">
        <v>995</v>
      </c>
      <c r="C91" s="125" t="s">
        <v>993</v>
      </c>
      <c r="D91" s="136">
        <v>483174</v>
      </c>
      <c r="E91" s="136"/>
      <c r="F91" s="168" t="s">
        <v>320</v>
      </c>
      <c r="G91" s="168">
        <v>225</v>
      </c>
      <c r="H91" s="371">
        <v>24.49</v>
      </c>
      <c r="I91" s="113">
        <f t="shared" si="1"/>
        <v>5510.25</v>
      </c>
    </row>
    <row r="92" spans="1:9" ht="15">
      <c r="A92" s="179">
        <v>90</v>
      </c>
      <c r="B92" s="125" t="s">
        <v>340</v>
      </c>
      <c r="C92" s="125" t="s">
        <v>993</v>
      </c>
      <c r="D92" s="136" t="s">
        <v>942</v>
      </c>
      <c r="E92" s="136"/>
      <c r="F92" s="168" t="s">
        <v>320</v>
      </c>
      <c r="G92" s="168">
        <v>225</v>
      </c>
      <c r="H92" s="371">
        <v>21.73</v>
      </c>
      <c r="I92" s="113">
        <f t="shared" si="1"/>
        <v>4889.25</v>
      </c>
    </row>
    <row r="93" spans="1:9" ht="30">
      <c r="A93" s="179">
        <v>91</v>
      </c>
      <c r="B93" s="311" t="s">
        <v>996</v>
      </c>
      <c r="C93" s="311" t="s">
        <v>997</v>
      </c>
      <c r="D93" s="112">
        <v>216954</v>
      </c>
      <c r="E93" s="112"/>
      <c r="F93" s="425" t="s">
        <v>998</v>
      </c>
      <c r="G93" s="168">
        <v>250</v>
      </c>
      <c r="H93" s="371">
        <v>4.79</v>
      </c>
      <c r="I93" s="113">
        <f t="shared" si="1"/>
        <v>1197.5</v>
      </c>
    </row>
    <row r="94" spans="1:9" ht="30">
      <c r="A94" s="179">
        <v>92</v>
      </c>
      <c r="B94" s="311" t="s">
        <v>999</v>
      </c>
      <c r="C94" s="311" t="s">
        <v>1000</v>
      </c>
      <c r="D94" s="112">
        <v>238764</v>
      </c>
      <c r="E94" s="112"/>
      <c r="F94" s="425" t="s">
        <v>1001</v>
      </c>
      <c r="G94" s="168">
        <v>250</v>
      </c>
      <c r="H94" s="371">
        <v>22.31</v>
      </c>
      <c r="I94" s="113">
        <f t="shared" si="1"/>
        <v>5577.5</v>
      </c>
    </row>
    <row r="95" spans="1:9" ht="30">
      <c r="A95" s="179">
        <v>93</v>
      </c>
      <c r="B95" s="311" t="s">
        <v>1002</v>
      </c>
      <c r="C95" s="311" t="s">
        <v>1003</v>
      </c>
      <c r="D95" s="112">
        <v>256485</v>
      </c>
      <c r="E95" s="112"/>
      <c r="F95" s="425" t="s">
        <v>998</v>
      </c>
      <c r="G95" s="168">
        <v>50</v>
      </c>
      <c r="H95" s="371">
        <v>25.43</v>
      </c>
      <c r="I95" s="113">
        <f t="shared" si="1"/>
        <v>1271.5</v>
      </c>
    </row>
    <row r="96" spans="1:9" ht="15">
      <c r="A96" s="179">
        <v>94</v>
      </c>
      <c r="B96" s="311" t="s">
        <v>1004</v>
      </c>
      <c r="C96" s="311" t="s">
        <v>993</v>
      </c>
      <c r="D96" s="112" t="s">
        <v>942</v>
      </c>
      <c r="E96" s="112"/>
      <c r="F96" s="112" t="s">
        <v>264</v>
      </c>
      <c r="G96" s="168">
        <v>50</v>
      </c>
      <c r="H96" s="371">
        <v>41.49</v>
      </c>
      <c r="I96" s="113">
        <f t="shared" si="1"/>
        <v>2074.5</v>
      </c>
    </row>
    <row r="97" spans="1:9" ht="30">
      <c r="A97" s="179">
        <v>95</v>
      </c>
      <c r="B97" s="311" t="s">
        <v>1005</v>
      </c>
      <c r="C97" s="311" t="s">
        <v>1006</v>
      </c>
      <c r="D97" s="112" t="s">
        <v>942</v>
      </c>
      <c r="E97" s="112"/>
      <c r="F97" s="112" t="s">
        <v>318</v>
      </c>
      <c r="G97" s="168">
        <v>50</v>
      </c>
      <c r="H97" s="371">
        <v>37.23</v>
      </c>
      <c r="I97" s="113">
        <f t="shared" si="1"/>
        <v>1861.4999999999998</v>
      </c>
    </row>
    <row r="98" spans="1:9" ht="15">
      <c r="A98" s="179">
        <v>96</v>
      </c>
      <c r="B98" s="311" t="s">
        <v>1007</v>
      </c>
      <c r="C98" s="311" t="s">
        <v>993</v>
      </c>
      <c r="D98" s="112">
        <v>434905</v>
      </c>
      <c r="E98" s="112"/>
      <c r="F98" s="112" t="s">
        <v>316</v>
      </c>
      <c r="G98" s="168">
        <v>500</v>
      </c>
      <c r="H98" s="371">
        <v>8.96</v>
      </c>
      <c r="I98" s="113">
        <f t="shared" si="1"/>
        <v>4480</v>
      </c>
    </row>
    <row r="99" spans="1:9" ht="15">
      <c r="A99" s="179">
        <v>97</v>
      </c>
      <c r="B99" s="311" t="s">
        <v>1008</v>
      </c>
      <c r="C99" s="311" t="s">
        <v>1009</v>
      </c>
      <c r="D99" s="112">
        <v>304782</v>
      </c>
      <c r="E99" s="112"/>
      <c r="F99" s="112" t="s">
        <v>264</v>
      </c>
      <c r="G99" s="168">
        <v>13</v>
      </c>
      <c r="H99" s="371">
        <v>23.9</v>
      </c>
      <c r="I99" s="113">
        <f t="shared" si="1"/>
        <v>310.7</v>
      </c>
    </row>
    <row r="100" spans="1:9" ht="15">
      <c r="A100" s="179">
        <v>98</v>
      </c>
      <c r="B100" s="311" t="s">
        <v>1010</v>
      </c>
      <c r="C100" s="311" t="s">
        <v>1011</v>
      </c>
      <c r="D100" s="112" t="s">
        <v>942</v>
      </c>
      <c r="E100" s="112"/>
      <c r="F100" s="112" t="s">
        <v>264</v>
      </c>
      <c r="G100" s="168">
        <v>13</v>
      </c>
      <c r="H100" s="371">
        <v>134.9</v>
      </c>
      <c r="I100" s="113">
        <f t="shared" si="1"/>
        <v>1753.7</v>
      </c>
    </row>
    <row r="101" spans="1:9" ht="15">
      <c r="A101" s="179">
        <v>99</v>
      </c>
      <c r="B101" s="310" t="s">
        <v>1012</v>
      </c>
      <c r="C101" s="311" t="s">
        <v>942</v>
      </c>
      <c r="D101" s="112">
        <v>218035</v>
      </c>
      <c r="E101" s="112"/>
      <c r="F101" s="112" t="s">
        <v>331</v>
      </c>
      <c r="G101" s="168">
        <v>250</v>
      </c>
      <c r="H101" s="371">
        <v>24.85</v>
      </c>
      <c r="I101" s="113">
        <f t="shared" si="1"/>
        <v>6212.5</v>
      </c>
    </row>
    <row r="102" spans="1:9" ht="30">
      <c r="A102" s="179">
        <v>100</v>
      </c>
      <c r="B102" s="309" t="s">
        <v>341</v>
      </c>
      <c r="C102" s="309" t="s">
        <v>1013</v>
      </c>
      <c r="D102" s="169">
        <v>384303</v>
      </c>
      <c r="E102" s="169"/>
      <c r="F102" s="168" t="s">
        <v>342</v>
      </c>
      <c r="G102" s="168">
        <v>45</v>
      </c>
      <c r="H102" s="371">
        <v>3.25</v>
      </c>
      <c r="I102" s="113">
        <f t="shared" si="1"/>
        <v>146.25</v>
      </c>
    </row>
    <row r="103" spans="1:9" ht="15">
      <c r="A103" s="179">
        <v>101</v>
      </c>
      <c r="B103" s="309" t="s">
        <v>343</v>
      </c>
      <c r="C103" s="309" t="s">
        <v>1014</v>
      </c>
      <c r="D103" s="169">
        <v>430277</v>
      </c>
      <c r="E103" s="169"/>
      <c r="F103" s="168" t="s">
        <v>1015</v>
      </c>
      <c r="G103" s="168">
        <v>45</v>
      </c>
      <c r="H103" s="371">
        <v>26.54</v>
      </c>
      <c r="I103" s="113">
        <f t="shared" si="1"/>
        <v>1194.3</v>
      </c>
    </row>
    <row r="104" spans="1:9" ht="30">
      <c r="A104" s="179">
        <v>102</v>
      </c>
      <c r="B104" s="310" t="s">
        <v>1016</v>
      </c>
      <c r="C104" s="311" t="s">
        <v>942</v>
      </c>
      <c r="D104" s="112">
        <v>260821</v>
      </c>
      <c r="E104" s="112"/>
      <c r="F104" s="425" t="s">
        <v>998</v>
      </c>
      <c r="G104" s="168">
        <v>75</v>
      </c>
      <c r="H104" s="371">
        <v>26</v>
      </c>
      <c r="I104" s="113">
        <f t="shared" si="1"/>
        <v>1950</v>
      </c>
    </row>
    <row r="105" spans="1:9" ht="15">
      <c r="A105" s="179">
        <v>103</v>
      </c>
      <c r="B105" s="309" t="s">
        <v>1017</v>
      </c>
      <c r="C105" s="309" t="s">
        <v>1018</v>
      </c>
      <c r="D105" s="169">
        <v>446216</v>
      </c>
      <c r="E105" s="169"/>
      <c r="F105" s="168" t="s">
        <v>267</v>
      </c>
      <c r="G105" s="168">
        <v>8</v>
      </c>
      <c r="H105" s="371">
        <v>25.5</v>
      </c>
      <c r="I105" s="113">
        <f t="shared" si="1"/>
        <v>204</v>
      </c>
    </row>
    <row r="106" spans="1:9" ht="30">
      <c r="A106" s="179">
        <v>104</v>
      </c>
      <c r="B106" s="310" t="s">
        <v>1019</v>
      </c>
      <c r="C106" s="311" t="s">
        <v>1020</v>
      </c>
      <c r="D106" s="112" t="s">
        <v>942</v>
      </c>
      <c r="E106" s="112"/>
      <c r="F106" s="425" t="s">
        <v>1021</v>
      </c>
      <c r="G106" s="168">
        <v>75</v>
      </c>
      <c r="H106" s="371">
        <v>31.17</v>
      </c>
      <c r="I106" s="113">
        <f t="shared" si="1"/>
        <v>2337.75</v>
      </c>
    </row>
    <row r="107" spans="1:9" ht="15">
      <c r="A107" s="179">
        <v>105</v>
      </c>
      <c r="B107" s="310" t="s">
        <v>1022</v>
      </c>
      <c r="C107" s="311" t="s">
        <v>1023</v>
      </c>
      <c r="D107" s="112">
        <v>440472</v>
      </c>
      <c r="E107" s="112"/>
      <c r="F107" s="112" t="s">
        <v>318</v>
      </c>
      <c r="G107" s="168">
        <v>25</v>
      </c>
      <c r="H107" s="371">
        <v>163.79</v>
      </c>
      <c r="I107" s="113">
        <f t="shared" si="1"/>
        <v>4094.75</v>
      </c>
    </row>
    <row r="108" spans="1:9" ht="15">
      <c r="A108" s="179">
        <v>106</v>
      </c>
      <c r="B108" s="310" t="s">
        <v>1024</v>
      </c>
      <c r="C108" s="311" t="s">
        <v>1025</v>
      </c>
      <c r="D108" s="112">
        <v>390022</v>
      </c>
      <c r="E108" s="112"/>
      <c r="F108" s="112" t="s">
        <v>1026</v>
      </c>
      <c r="G108" s="168">
        <v>13</v>
      </c>
      <c r="H108" s="371">
        <v>170.27</v>
      </c>
      <c r="I108" s="113">
        <f t="shared" si="1"/>
        <v>2213.51</v>
      </c>
    </row>
    <row r="109" spans="1:9" ht="17.25">
      <c r="A109" s="179">
        <v>107</v>
      </c>
      <c r="B109" s="309" t="s">
        <v>394</v>
      </c>
      <c r="C109" s="309" t="s">
        <v>943</v>
      </c>
      <c r="D109" s="170">
        <v>473260</v>
      </c>
      <c r="E109" s="170"/>
      <c r="F109" s="168" t="s">
        <v>342</v>
      </c>
      <c r="G109" s="168">
        <v>45</v>
      </c>
      <c r="H109" s="371">
        <v>10.1</v>
      </c>
      <c r="I109" s="113">
        <f t="shared" si="1"/>
        <v>454.5</v>
      </c>
    </row>
    <row r="110" spans="1:9" ht="17.25">
      <c r="A110" s="179">
        <v>108</v>
      </c>
      <c r="B110" s="309" t="s">
        <v>395</v>
      </c>
      <c r="C110" s="309" t="s">
        <v>943</v>
      </c>
      <c r="D110" s="170">
        <v>473260</v>
      </c>
      <c r="E110" s="170"/>
      <c r="F110" s="168" t="s">
        <v>342</v>
      </c>
      <c r="G110" s="168">
        <v>45</v>
      </c>
      <c r="H110" s="371">
        <v>12.29</v>
      </c>
      <c r="I110" s="113">
        <f t="shared" si="1"/>
        <v>553.05</v>
      </c>
    </row>
    <row r="111" spans="1:9" ht="17.25">
      <c r="A111" s="179">
        <v>109</v>
      </c>
      <c r="B111" s="309" t="s">
        <v>396</v>
      </c>
      <c r="C111" s="309" t="s">
        <v>943</v>
      </c>
      <c r="D111" s="170">
        <v>473260</v>
      </c>
      <c r="E111" s="170"/>
      <c r="F111" s="168" t="s">
        <v>342</v>
      </c>
      <c r="G111" s="168">
        <v>45</v>
      </c>
      <c r="H111" s="371">
        <v>15.52</v>
      </c>
      <c r="I111" s="113">
        <f t="shared" si="1"/>
        <v>698.4</v>
      </c>
    </row>
    <row r="112" spans="1:9" ht="17.25">
      <c r="A112" s="179">
        <v>110</v>
      </c>
      <c r="B112" s="309" t="s">
        <v>397</v>
      </c>
      <c r="C112" s="309" t="s">
        <v>943</v>
      </c>
      <c r="D112" s="170">
        <v>408492</v>
      </c>
      <c r="E112" s="170"/>
      <c r="F112" s="168" t="s">
        <v>342</v>
      </c>
      <c r="G112" s="168">
        <v>45</v>
      </c>
      <c r="H112" s="371">
        <v>5.61</v>
      </c>
      <c r="I112" s="113">
        <f t="shared" si="1"/>
        <v>252.45000000000002</v>
      </c>
    </row>
    <row r="113" spans="1:9" ht="30">
      <c r="A113" s="179">
        <v>111</v>
      </c>
      <c r="B113" s="310" t="s">
        <v>1027</v>
      </c>
      <c r="C113" s="311" t="s">
        <v>942</v>
      </c>
      <c r="D113" s="112">
        <v>343734</v>
      </c>
      <c r="E113" s="112"/>
      <c r="F113" s="425" t="s">
        <v>1028</v>
      </c>
      <c r="G113" s="168">
        <v>75</v>
      </c>
      <c r="H113" s="371">
        <v>3.62</v>
      </c>
      <c r="I113" s="113">
        <f t="shared" si="1"/>
        <v>271.5</v>
      </c>
    </row>
    <row r="114" spans="1:9" ht="15">
      <c r="A114" s="179">
        <v>112</v>
      </c>
      <c r="B114" s="310" t="s">
        <v>1029</v>
      </c>
      <c r="C114" s="311" t="s">
        <v>1030</v>
      </c>
      <c r="D114" s="112">
        <v>250120</v>
      </c>
      <c r="E114" s="112"/>
      <c r="F114" s="112" t="s">
        <v>264</v>
      </c>
      <c r="G114" s="168">
        <v>50</v>
      </c>
      <c r="H114" s="371">
        <v>2.45</v>
      </c>
      <c r="I114" s="113">
        <f t="shared" si="1"/>
        <v>122.50000000000001</v>
      </c>
    </row>
    <row r="115" spans="1:9" ht="30">
      <c r="A115" s="179">
        <v>113</v>
      </c>
      <c r="B115" s="309" t="s">
        <v>344</v>
      </c>
      <c r="C115" s="309" t="s">
        <v>1031</v>
      </c>
      <c r="D115" s="170">
        <v>458347</v>
      </c>
      <c r="E115" s="170"/>
      <c r="F115" s="168" t="s">
        <v>330</v>
      </c>
      <c r="G115" s="168">
        <v>40</v>
      </c>
      <c r="H115" s="371">
        <v>58.73</v>
      </c>
      <c r="I115" s="113">
        <f t="shared" si="1"/>
        <v>2349.2</v>
      </c>
    </row>
    <row r="116" spans="1:9" ht="30">
      <c r="A116" s="179">
        <v>114</v>
      </c>
      <c r="B116" s="309" t="s">
        <v>345</v>
      </c>
      <c r="C116" s="309" t="s">
        <v>1031</v>
      </c>
      <c r="D116" s="170">
        <v>416362</v>
      </c>
      <c r="E116" s="170"/>
      <c r="F116" s="168" t="s">
        <v>330</v>
      </c>
      <c r="G116" s="168">
        <v>40</v>
      </c>
      <c r="H116" s="371">
        <v>44.7</v>
      </c>
      <c r="I116" s="113">
        <f t="shared" si="1"/>
        <v>1788</v>
      </c>
    </row>
    <row r="117" spans="1:9" ht="30">
      <c r="A117" s="179">
        <v>115</v>
      </c>
      <c r="B117" s="309" t="s">
        <v>346</v>
      </c>
      <c r="C117" s="309" t="s">
        <v>1031</v>
      </c>
      <c r="D117" s="170">
        <v>416360</v>
      </c>
      <c r="E117" s="170"/>
      <c r="F117" s="179" t="s">
        <v>330</v>
      </c>
      <c r="G117" s="179">
        <v>40</v>
      </c>
      <c r="H117" s="371">
        <v>9.49</v>
      </c>
      <c r="I117" s="113">
        <f t="shared" si="1"/>
        <v>379.6</v>
      </c>
    </row>
    <row r="118" spans="1:9" ht="30">
      <c r="A118" s="179">
        <v>116</v>
      </c>
      <c r="B118" s="309" t="s">
        <v>347</v>
      </c>
      <c r="C118" s="309" t="s">
        <v>1031</v>
      </c>
      <c r="D118" s="170">
        <v>424720</v>
      </c>
      <c r="E118" s="170"/>
      <c r="F118" s="179" t="s">
        <v>330</v>
      </c>
      <c r="G118" s="179">
        <v>40</v>
      </c>
      <c r="H118" s="371">
        <v>53.38</v>
      </c>
      <c r="I118" s="113">
        <f t="shared" si="1"/>
        <v>2135.2000000000003</v>
      </c>
    </row>
    <row r="119" spans="1:9" ht="30">
      <c r="A119" s="179">
        <v>117</v>
      </c>
      <c r="B119" s="309" t="s">
        <v>348</v>
      </c>
      <c r="C119" s="309" t="s">
        <v>1031</v>
      </c>
      <c r="D119" s="170">
        <v>376214</v>
      </c>
      <c r="E119" s="170"/>
      <c r="F119" s="179" t="s">
        <v>330</v>
      </c>
      <c r="G119" s="179">
        <v>40</v>
      </c>
      <c r="H119" s="371">
        <v>40.35</v>
      </c>
      <c r="I119" s="113">
        <f t="shared" si="1"/>
        <v>1614</v>
      </c>
    </row>
    <row r="120" spans="1:9" ht="30">
      <c r="A120" s="179">
        <v>118</v>
      </c>
      <c r="B120" s="309" t="s">
        <v>349</v>
      </c>
      <c r="C120" s="309" t="s">
        <v>1031</v>
      </c>
      <c r="D120" s="170">
        <v>416359</v>
      </c>
      <c r="E120" s="170"/>
      <c r="F120" s="179" t="s">
        <v>330</v>
      </c>
      <c r="G120" s="179">
        <v>40</v>
      </c>
      <c r="H120" s="371">
        <v>11.16</v>
      </c>
      <c r="I120" s="113">
        <f t="shared" si="1"/>
        <v>446.4</v>
      </c>
    </row>
    <row r="121" spans="1:9" ht="30">
      <c r="A121" s="179">
        <v>119</v>
      </c>
      <c r="B121" s="309" t="s">
        <v>350</v>
      </c>
      <c r="C121" s="309" t="s">
        <v>1031</v>
      </c>
      <c r="D121" s="170">
        <v>416378</v>
      </c>
      <c r="E121" s="170"/>
      <c r="F121" s="179" t="s">
        <v>330</v>
      </c>
      <c r="G121" s="179">
        <v>40</v>
      </c>
      <c r="H121" s="371">
        <v>61.5</v>
      </c>
      <c r="I121" s="113">
        <f t="shared" si="1"/>
        <v>2460</v>
      </c>
    </row>
    <row r="122" spans="1:9" ht="30">
      <c r="A122" s="179">
        <v>120</v>
      </c>
      <c r="B122" s="309" t="s">
        <v>351</v>
      </c>
      <c r="C122" s="309" t="s">
        <v>1031</v>
      </c>
      <c r="D122" s="170">
        <v>424723</v>
      </c>
      <c r="E122" s="170"/>
      <c r="F122" s="179" t="s">
        <v>330</v>
      </c>
      <c r="G122" s="179">
        <v>40</v>
      </c>
      <c r="H122" s="371">
        <v>44.48</v>
      </c>
      <c r="I122" s="113">
        <f t="shared" si="1"/>
        <v>1779.1999999999998</v>
      </c>
    </row>
    <row r="123" spans="1:9" ht="30">
      <c r="A123" s="179">
        <v>121</v>
      </c>
      <c r="B123" s="309" t="s">
        <v>352</v>
      </c>
      <c r="C123" s="309" t="s">
        <v>1031</v>
      </c>
      <c r="D123" s="170">
        <v>424916</v>
      </c>
      <c r="E123" s="170"/>
      <c r="F123" s="179" t="s">
        <v>330</v>
      </c>
      <c r="G123" s="179">
        <v>40</v>
      </c>
      <c r="H123" s="371">
        <v>10.61</v>
      </c>
      <c r="I123" s="113">
        <f t="shared" si="1"/>
        <v>424.4</v>
      </c>
    </row>
    <row r="124" spans="1:9" ht="30">
      <c r="A124" s="179">
        <v>122</v>
      </c>
      <c r="B124" s="309" t="s">
        <v>353</v>
      </c>
      <c r="C124" s="309" t="s">
        <v>1031</v>
      </c>
      <c r="D124" s="170">
        <v>408881</v>
      </c>
      <c r="E124" s="170"/>
      <c r="F124" s="179" t="s">
        <v>330</v>
      </c>
      <c r="G124" s="179">
        <v>40</v>
      </c>
      <c r="H124" s="371">
        <v>55.98</v>
      </c>
      <c r="I124" s="113">
        <f t="shared" si="1"/>
        <v>2239.2</v>
      </c>
    </row>
    <row r="125" spans="1:9" ht="30">
      <c r="A125" s="179">
        <v>123</v>
      </c>
      <c r="B125" s="309" t="s">
        <v>354</v>
      </c>
      <c r="C125" s="309" t="s">
        <v>1031</v>
      </c>
      <c r="D125" s="170">
        <v>344909</v>
      </c>
      <c r="E125" s="170"/>
      <c r="F125" s="179" t="s">
        <v>330</v>
      </c>
      <c r="G125" s="179">
        <v>40</v>
      </c>
      <c r="H125" s="371">
        <v>37.62</v>
      </c>
      <c r="I125" s="113">
        <f t="shared" si="1"/>
        <v>1504.8</v>
      </c>
    </row>
    <row r="126" spans="1:9" ht="30">
      <c r="A126" s="179">
        <v>124</v>
      </c>
      <c r="B126" s="309" t="s">
        <v>355</v>
      </c>
      <c r="C126" s="309" t="s">
        <v>1031</v>
      </c>
      <c r="D126" s="170">
        <v>408854</v>
      </c>
      <c r="E126" s="170"/>
      <c r="F126" s="179" t="s">
        <v>330</v>
      </c>
      <c r="G126" s="179">
        <v>40</v>
      </c>
      <c r="H126" s="371">
        <v>10.11</v>
      </c>
      <c r="I126" s="113">
        <f t="shared" si="1"/>
        <v>404.4</v>
      </c>
    </row>
    <row r="127" spans="1:9" ht="30">
      <c r="A127" s="179">
        <v>125</v>
      </c>
      <c r="B127" s="309" t="s">
        <v>356</v>
      </c>
      <c r="C127" s="309" t="s">
        <v>1031</v>
      </c>
      <c r="D127" s="170">
        <v>416383</v>
      </c>
      <c r="E127" s="170"/>
      <c r="F127" s="179" t="s">
        <v>330</v>
      </c>
      <c r="G127" s="179">
        <v>40</v>
      </c>
      <c r="H127" s="371">
        <v>55.98</v>
      </c>
      <c r="I127" s="113">
        <f t="shared" si="1"/>
        <v>2239.2</v>
      </c>
    </row>
    <row r="128" spans="1:9" ht="30">
      <c r="A128" s="179">
        <v>126</v>
      </c>
      <c r="B128" s="309" t="s">
        <v>357</v>
      </c>
      <c r="C128" s="309" t="s">
        <v>1031</v>
      </c>
      <c r="D128" s="170">
        <v>416365</v>
      </c>
      <c r="E128" s="170"/>
      <c r="F128" s="179" t="s">
        <v>330</v>
      </c>
      <c r="G128" s="179">
        <v>40</v>
      </c>
      <c r="H128" s="371">
        <v>47.1</v>
      </c>
      <c r="I128" s="113">
        <f t="shared" si="1"/>
        <v>1884</v>
      </c>
    </row>
    <row r="129" spans="1:9" ht="30">
      <c r="A129" s="179">
        <v>127</v>
      </c>
      <c r="B129" s="309" t="s">
        <v>358</v>
      </c>
      <c r="C129" s="309" t="s">
        <v>1032</v>
      </c>
      <c r="D129" s="170">
        <v>408860</v>
      </c>
      <c r="E129" s="170"/>
      <c r="F129" s="179" t="s">
        <v>330</v>
      </c>
      <c r="G129" s="179">
        <v>40</v>
      </c>
      <c r="H129" s="371">
        <v>10.55</v>
      </c>
      <c r="I129" s="113">
        <f t="shared" si="1"/>
        <v>422</v>
      </c>
    </row>
    <row r="130" spans="1:9" ht="30">
      <c r="A130" s="179">
        <v>128</v>
      </c>
      <c r="B130" s="309" t="s">
        <v>359</v>
      </c>
      <c r="C130" s="309" t="s">
        <v>1032</v>
      </c>
      <c r="D130" s="170">
        <v>322661</v>
      </c>
      <c r="E130" s="170"/>
      <c r="F130" s="179" t="s">
        <v>330</v>
      </c>
      <c r="G130" s="179">
        <v>13</v>
      </c>
      <c r="H130" s="371">
        <v>111.62</v>
      </c>
      <c r="I130" s="113">
        <f t="shared" si="1"/>
        <v>1451.06</v>
      </c>
    </row>
    <row r="131" spans="1:9" ht="30">
      <c r="A131" s="179">
        <v>129</v>
      </c>
      <c r="B131" s="309" t="s">
        <v>360</v>
      </c>
      <c r="C131" s="309" t="s">
        <v>1032</v>
      </c>
      <c r="D131" s="170">
        <v>322661</v>
      </c>
      <c r="E131" s="170"/>
      <c r="F131" s="179" t="s">
        <v>330</v>
      </c>
      <c r="G131" s="179">
        <v>13</v>
      </c>
      <c r="H131" s="371">
        <v>237.48</v>
      </c>
      <c r="I131" s="113">
        <f t="shared" si="1"/>
        <v>3087.24</v>
      </c>
    </row>
    <row r="132" spans="1:9" ht="30">
      <c r="A132" s="179">
        <v>130</v>
      </c>
      <c r="B132" s="309" t="s">
        <v>361</v>
      </c>
      <c r="C132" s="309" t="s">
        <v>1032</v>
      </c>
      <c r="D132" s="170">
        <v>322661</v>
      </c>
      <c r="E132" s="170"/>
      <c r="F132" s="179" t="s">
        <v>330</v>
      </c>
      <c r="G132" s="179">
        <v>13</v>
      </c>
      <c r="H132" s="371">
        <v>148.13</v>
      </c>
      <c r="I132" s="113">
        <f aca="true" t="shared" si="2" ref="I132:I191">H132*G132</f>
        <v>1925.69</v>
      </c>
    </row>
    <row r="133" spans="1:9" ht="30">
      <c r="A133" s="179">
        <v>131</v>
      </c>
      <c r="B133" s="309" t="s">
        <v>362</v>
      </c>
      <c r="C133" s="309" t="s">
        <v>1032</v>
      </c>
      <c r="D133" s="170">
        <v>322661</v>
      </c>
      <c r="E133" s="170"/>
      <c r="F133" s="179" t="s">
        <v>330</v>
      </c>
      <c r="G133" s="179">
        <v>13</v>
      </c>
      <c r="H133" s="371">
        <v>175.6</v>
      </c>
      <c r="I133" s="113">
        <f t="shared" si="2"/>
        <v>2282.7999999999997</v>
      </c>
    </row>
    <row r="134" spans="1:9" ht="30">
      <c r="A134" s="179">
        <v>132</v>
      </c>
      <c r="B134" s="309" t="s">
        <v>363</v>
      </c>
      <c r="C134" s="309" t="s">
        <v>1032</v>
      </c>
      <c r="D134" s="170">
        <v>322661</v>
      </c>
      <c r="E134" s="170"/>
      <c r="F134" s="179" t="s">
        <v>330</v>
      </c>
      <c r="G134" s="179">
        <v>13</v>
      </c>
      <c r="H134" s="371">
        <v>224.98</v>
      </c>
      <c r="I134" s="113">
        <f t="shared" si="2"/>
        <v>2924.74</v>
      </c>
    </row>
    <row r="135" spans="1:9" ht="15">
      <c r="A135" s="179">
        <v>133</v>
      </c>
      <c r="B135" s="310" t="s">
        <v>1033</v>
      </c>
      <c r="C135" s="311" t="s">
        <v>1018</v>
      </c>
      <c r="D135" s="112">
        <v>446216</v>
      </c>
      <c r="E135" s="112"/>
      <c r="F135" s="112" t="s">
        <v>267</v>
      </c>
      <c r="G135" s="168">
        <v>8</v>
      </c>
      <c r="H135" s="371">
        <v>28.15</v>
      </c>
      <c r="I135" s="113">
        <f t="shared" si="2"/>
        <v>225.2</v>
      </c>
    </row>
    <row r="136" spans="1:9" ht="15">
      <c r="A136" s="179">
        <v>134</v>
      </c>
      <c r="B136" s="310" t="s">
        <v>1034</v>
      </c>
      <c r="C136" s="311" t="s">
        <v>1030</v>
      </c>
      <c r="D136" s="112">
        <v>250117</v>
      </c>
      <c r="E136" s="112"/>
      <c r="F136" s="112" t="s">
        <v>264</v>
      </c>
      <c r="G136" s="168">
        <v>50</v>
      </c>
      <c r="H136" s="371">
        <v>2.99</v>
      </c>
      <c r="I136" s="113">
        <f t="shared" si="2"/>
        <v>149.5</v>
      </c>
    </row>
    <row r="137" spans="1:9" ht="15">
      <c r="A137" s="179">
        <v>135</v>
      </c>
      <c r="B137" s="310" t="s">
        <v>1035</v>
      </c>
      <c r="C137" s="311" t="s">
        <v>1023</v>
      </c>
      <c r="D137" s="112" t="s">
        <v>942</v>
      </c>
      <c r="E137" s="112"/>
      <c r="F137" s="112" t="s">
        <v>1036</v>
      </c>
      <c r="G137" s="168">
        <v>13</v>
      </c>
      <c r="H137" s="371">
        <v>110.09</v>
      </c>
      <c r="I137" s="113">
        <f t="shared" si="2"/>
        <v>1431.17</v>
      </c>
    </row>
    <row r="138" spans="1:9" ht="30">
      <c r="A138" s="179">
        <v>136</v>
      </c>
      <c r="B138" s="310" t="s">
        <v>1037</v>
      </c>
      <c r="C138" s="311" t="s">
        <v>1038</v>
      </c>
      <c r="D138" s="112">
        <v>216957</v>
      </c>
      <c r="E138" s="112"/>
      <c r="F138" s="425" t="s">
        <v>998</v>
      </c>
      <c r="G138" s="168">
        <v>250</v>
      </c>
      <c r="H138" s="371">
        <v>13.93</v>
      </c>
      <c r="I138" s="113">
        <f t="shared" si="2"/>
        <v>3482.5</v>
      </c>
    </row>
    <row r="139" spans="1:9" ht="30">
      <c r="A139" s="179">
        <v>137</v>
      </c>
      <c r="B139" s="310" t="s">
        <v>1039</v>
      </c>
      <c r="C139" s="311" t="s">
        <v>1040</v>
      </c>
      <c r="D139" s="112">
        <v>320920</v>
      </c>
      <c r="E139" s="112"/>
      <c r="F139" s="425" t="s">
        <v>998</v>
      </c>
      <c r="G139" s="168">
        <v>50</v>
      </c>
      <c r="H139" s="371">
        <v>17.59</v>
      </c>
      <c r="I139" s="113">
        <f t="shared" si="2"/>
        <v>879.5</v>
      </c>
    </row>
    <row r="140" spans="1:9" ht="15">
      <c r="A140" s="179">
        <v>138</v>
      </c>
      <c r="B140" s="310" t="s">
        <v>1041</v>
      </c>
      <c r="C140" s="311" t="s">
        <v>1023</v>
      </c>
      <c r="D140" s="112">
        <v>313052</v>
      </c>
      <c r="E140" s="112"/>
      <c r="F140" s="112" t="s">
        <v>1042</v>
      </c>
      <c r="G140" s="168">
        <v>250</v>
      </c>
      <c r="H140" s="371">
        <v>25.61</v>
      </c>
      <c r="I140" s="113">
        <f t="shared" si="2"/>
        <v>6402.5</v>
      </c>
    </row>
    <row r="141" spans="1:9" ht="15">
      <c r="A141" s="179">
        <v>139</v>
      </c>
      <c r="B141" s="309" t="s">
        <v>364</v>
      </c>
      <c r="C141" s="309" t="s">
        <v>1043</v>
      </c>
      <c r="D141" s="170">
        <v>377651</v>
      </c>
      <c r="E141" s="170"/>
      <c r="F141" s="168" t="s">
        <v>1044</v>
      </c>
      <c r="G141" s="168">
        <v>8</v>
      </c>
      <c r="H141" s="371">
        <v>727.67</v>
      </c>
      <c r="I141" s="113">
        <f t="shared" si="2"/>
        <v>5821.36</v>
      </c>
    </row>
    <row r="142" spans="1:9" ht="15">
      <c r="A142" s="179">
        <v>140</v>
      </c>
      <c r="B142" s="309" t="s">
        <v>365</v>
      </c>
      <c r="C142" s="309" t="s">
        <v>1043</v>
      </c>
      <c r="D142" s="170">
        <v>399615</v>
      </c>
      <c r="E142" s="170"/>
      <c r="F142" s="168" t="s">
        <v>1045</v>
      </c>
      <c r="G142" s="168">
        <v>8</v>
      </c>
      <c r="H142" s="371">
        <v>918.32</v>
      </c>
      <c r="I142" s="113">
        <f t="shared" si="2"/>
        <v>7346.56</v>
      </c>
    </row>
    <row r="143" spans="1:9" ht="15">
      <c r="A143" s="179">
        <v>141</v>
      </c>
      <c r="B143" s="310" t="s">
        <v>1046</v>
      </c>
      <c r="C143" s="311" t="s">
        <v>1047</v>
      </c>
      <c r="D143" s="112">
        <v>278991</v>
      </c>
      <c r="E143" s="112"/>
      <c r="F143" s="112" t="s">
        <v>459</v>
      </c>
      <c r="G143" s="168">
        <v>125</v>
      </c>
      <c r="H143" s="371">
        <v>81.25</v>
      </c>
      <c r="I143" s="113">
        <f t="shared" si="2"/>
        <v>10156.25</v>
      </c>
    </row>
    <row r="144" spans="1:9" ht="15">
      <c r="A144" s="179">
        <v>142</v>
      </c>
      <c r="B144" s="309" t="s">
        <v>1048</v>
      </c>
      <c r="C144" s="309" t="s">
        <v>1049</v>
      </c>
      <c r="D144" s="170">
        <v>446216</v>
      </c>
      <c r="E144" s="170"/>
      <c r="F144" s="168" t="s">
        <v>267</v>
      </c>
      <c r="G144" s="168">
        <v>8</v>
      </c>
      <c r="H144" s="371">
        <v>32.39</v>
      </c>
      <c r="I144" s="113">
        <f t="shared" si="2"/>
        <v>259.12</v>
      </c>
    </row>
    <row r="145" spans="1:9" ht="15">
      <c r="A145" s="179">
        <v>143</v>
      </c>
      <c r="B145" s="309" t="s">
        <v>366</v>
      </c>
      <c r="C145" s="309" t="s">
        <v>1050</v>
      </c>
      <c r="D145" s="170">
        <v>461000</v>
      </c>
      <c r="E145" s="170"/>
      <c r="F145" s="168" t="s">
        <v>1051</v>
      </c>
      <c r="G145" s="168">
        <v>50</v>
      </c>
      <c r="H145" s="371">
        <v>2.75</v>
      </c>
      <c r="I145" s="113">
        <f t="shared" si="2"/>
        <v>137.5</v>
      </c>
    </row>
    <row r="146" spans="1:9" ht="15">
      <c r="A146" s="179">
        <v>144</v>
      </c>
      <c r="B146" s="309" t="s">
        <v>367</v>
      </c>
      <c r="C146" s="309" t="s">
        <v>1050</v>
      </c>
      <c r="D146" s="170">
        <v>461002</v>
      </c>
      <c r="E146" s="170"/>
      <c r="F146" s="168" t="s">
        <v>1051</v>
      </c>
      <c r="G146" s="168">
        <v>50</v>
      </c>
      <c r="H146" s="371">
        <v>6.67</v>
      </c>
      <c r="I146" s="113">
        <f t="shared" si="2"/>
        <v>333.5</v>
      </c>
    </row>
    <row r="147" spans="1:9" ht="15">
      <c r="A147" s="179">
        <v>145</v>
      </c>
      <c r="B147" s="309" t="s">
        <v>368</v>
      </c>
      <c r="C147" s="309" t="s">
        <v>1050</v>
      </c>
      <c r="D147" s="170">
        <v>345000</v>
      </c>
      <c r="E147" s="170"/>
      <c r="F147" s="168" t="s">
        <v>342</v>
      </c>
      <c r="G147" s="168">
        <v>10</v>
      </c>
      <c r="H147" s="371">
        <v>2.8</v>
      </c>
      <c r="I147" s="113">
        <f t="shared" si="2"/>
        <v>28</v>
      </c>
    </row>
    <row r="148" spans="1:9" ht="15">
      <c r="A148" s="179">
        <v>146</v>
      </c>
      <c r="B148" s="309" t="s">
        <v>369</v>
      </c>
      <c r="C148" s="309" t="s">
        <v>1052</v>
      </c>
      <c r="D148" s="170">
        <v>461319</v>
      </c>
      <c r="E148" s="170"/>
      <c r="F148" s="168" t="s">
        <v>342</v>
      </c>
      <c r="G148" s="168">
        <v>45</v>
      </c>
      <c r="H148" s="371">
        <v>27.63</v>
      </c>
      <c r="I148" s="113">
        <f t="shared" si="2"/>
        <v>1243.35</v>
      </c>
    </row>
    <row r="149" spans="1:9" ht="15">
      <c r="A149" s="179">
        <v>147</v>
      </c>
      <c r="B149" s="309" t="s">
        <v>370</v>
      </c>
      <c r="C149" s="309" t="s">
        <v>759</v>
      </c>
      <c r="D149" s="170">
        <v>396867</v>
      </c>
      <c r="E149" s="170"/>
      <c r="F149" s="168" t="s">
        <v>342</v>
      </c>
      <c r="G149" s="168">
        <v>23</v>
      </c>
      <c r="H149" s="371">
        <v>5.98</v>
      </c>
      <c r="I149" s="113">
        <f t="shared" si="2"/>
        <v>137.54000000000002</v>
      </c>
    </row>
    <row r="150" spans="1:9" ht="15">
      <c r="A150" s="179">
        <v>148</v>
      </c>
      <c r="B150" s="309" t="s">
        <v>371</v>
      </c>
      <c r="C150" s="309" t="s">
        <v>759</v>
      </c>
      <c r="D150" s="170">
        <v>396865</v>
      </c>
      <c r="E150" s="170"/>
      <c r="F150" s="179" t="s">
        <v>342</v>
      </c>
      <c r="G150" s="179">
        <v>23</v>
      </c>
      <c r="H150" s="371">
        <v>6.47</v>
      </c>
      <c r="I150" s="113">
        <f t="shared" si="2"/>
        <v>148.81</v>
      </c>
    </row>
    <row r="151" spans="1:9" ht="15">
      <c r="A151" s="179">
        <v>149</v>
      </c>
      <c r="B151" s="309" t="s">
        <v>372</v>
      </c>
      <c r="C151" s="309" t="s">
        <v>1053</v>
      </c>
      <c r="D151" s="170">
        <v>365393</v>
      </c>
      <c r="E151" s="170"/>
      <c r="F151" s="179" t="s">
        <v>1054</v>
      </c>
      <c r="G151" s="179">
        <v>13</v>
      </c>
      <c r="H151" s="371">
        <v>199.75</v>
      </c>
      <c r="I151" s="113">
        <f t="shared" si="2"/>
        <v>2596.75</v>
      </c>
    </row>
    <row r="152" spans="1:9" ht="15">
      <c r="A152" s="179">
        <v>150</v>
      </c>
      <c r="B152" s="309" t="s">
        <v>373</v>
      </c>
      <c r="C152" s="309" t="s">
        <v>1053</v>
      </c>
      <c r="D152" s="170">
        <v>289275</v>
      </c>
      <c r="E152" s="170"/>
      <c r="F152" s="179" t="s">
        <v>1054</v>
      </c>
      <c r="G152" s="179">
        <v>13</v>
      </c>
      <c r="H152" s="371">
        <v>246.9</v>
      </c>
      <c r="I152" s="113">
        <f t="shared" si="2"/>
        <v>3209.7000000000003</v>
      </c>
    </row>
    <row r="153" spans="1:9" ht="15">
      <c r="A153" s="179">
        <v>151</v>
      </c>
      <c r="B153" s="309" t="s">
        <v>374</v>
      </c>
      <c r="C153" s="309" t="s">
        <v>1053</v>
      </c>
      <c r="D153" s="170">
        <v>344032</v>
      </c>
      <c r="E153" s="170"/>
      <c r="F153" s="179" t="s">
        <v>1054</v>
      </c>
      <c r="G153" s="179">
        <v>13</v>
      </c>
      <c r="H153" s="371">
        <v>247.36</v>
      </c>
      <c r="I153" s="113">
        <f t="shared" si="2"/>
        <v>3215.6800000000003</v>
      </c>
    </row>
    <row r="154" spans="1:9" ht="15">
      <c r="A154" s="179">
        <v>152</v>
      </c>
      <c r="B154" s="309" t="s">
        <v>375</v>
      </c>
      <c r="C154" s="309" t="s">
        <v>1053</v>
      </c>
      <c r="D154" s="170">
        <v>338624</v>
      </c>
      <c r="E154" s="170"/>
      <c r="F154" s="179" t="s">
        <v>1054</v>
      </c>
      <c r="G154" s="179">
        <v>13</v>
      </c>
      <c r="H154" s="371">
        <v>365.63</v>
      </c>
      <c r="I154" s="113">
        <f t="shared" si="2"/>
        <v>4753.19</v>
      </c>
    </row>
    <row r="155" spans="1:9" ht="15">
      <c r="A155" s="179">
        <v>153</v>
      </c>
      <c r="B155" s="309" t="s">
        <v>376</v>
      </c>
      <c r="C155" s="309" t="s">
        <v>1053</v>
      </c>
      <c r="D155" s="170">
        <v>344031</v>
      </c>
      <c r="E155" s="170"/>
      <c r="F155" s="179" t="s">
        <v>1054</v>
      </c>
      <c r="G155" s="179">
        <v>13</v>
      </c>
      <c r="H155" s="371">
        <v>429.94</v>
      </c>
      <c r="I155" s="113">
        <f t="shared" si="2"/>
        <v>5589.22</v>
      </c>
    </row>
    <row r="156" spans="1:9" ht="15">
      <c r="A156" s="179">
        <v>154</v>
      </c>
      <c r="B156" s="309" t="s">
        <v>377</v>
      </c>
      <c r="C156" s="309" t="s">
        <v>1053</v>
      </c>
      <c r="D156" s="170">
        <v>338625</v>
      </c>
      <c r="E156" s="170"/>
      <c r="F156" s="179" t="s">
        <v>1054</v>
      </c>
      <c r="G156" s="179">
        <v>13</v>
      </c>
      <c r="H156" s="371">
        <v>591.63</v>
      </c>
      <c r="I156" s="113">
        <f t="shared" si="2"/>
        <v>7691.19</v>
      </c>
    </row>
    <row r="157" spans="1:9" ht="15">
      <c r="A157" s="179">
        <v>155</v>
      </c>
      <c r="B157" s="309" t="s">
        <v>378</v>
      </c>
      <c r="C157" s="309" t="s">
        <v>1053</v>
      </c>
      <c r="D157" s="170">
        <v>285319</v>
      </c>
      <c r="E157" s="170"/>
      <c r="F157" s="168" t="s">
        <v>330</v>
      </c>
      <c r="G157" s="168">
        <v>15</v>
      </c>
      <c r="H157" s="371">
        <v>1.72</v>
      </c>
      <c r="I157" s="113">
        <f t="shared" si="2"/>
        <v>25.8</v>
      </c>
    </row>
    <row r="158" spans="1:9" ht="15">
      <c r="A158" s="179">
        <v>156</v>
      </c>
      <c r="B158" s="309" t="s">
        <v>379</v>
      </c>
      <c r="C158" s="309" t="s">
        <v>1053</v>
      </c>
      <c r="D158" s="170">
        <v>366096</v>
      </c>
      <c r="E158" s="170"/>
      <c r="F158" s="168" t="s">
        <v>330</v>
      </c>
      <c r="G158" s="168">
        <v>15</v>
      </c>
      <c r="H158" s="371">
        <v>6.83</v>
      </c>
      <c r="I158" s="113">
        <f t="shared" si="2"/>
        <v>102.45</v>
      </c>
    </row>
    <row r="159" spans="1:9" ht="15">
      <c r="A159" s="179">
        <v>157</v>
      </c>
      <c r="B159" s="309" t="s">
        <v>380</v>
      </c>
      <c r="C159" s="309" t="s">
        <v>1053</v>
      </c>
      <c r="D159" s="170">
        <v>338628</v>
      </c>
      <c r="E159" s="170"/>
      <c r="F159" s="168" t="s">
        <v>330</v>
      </c>
      <c r="G159" s="168">
        <v>15</v>
      </c>
      <c r="H159" s="371">
        <v>19.58</v>
      </c>
      <c r="I159" s="113">
        <f t="shared" si="2"/>
        <v>293.7</v>
      </c>
    </row>
    <row r="160" spans="1:9" ht="15">
      <c r="A160" s="179">
        <v>158</v>
      </c>
      <c r="B160" s="309" t="s">
        <v>381</v>
      </c>
      <c r="C160" s="309" t="s">
        <v>1055</v>
      </c>
      <c r="D160" s="170">
        <v>348490</v>
      </c>
      <c r="E160" s="170"/>
      <c r="F160" s="168" t="s">
        <v>330</v>
      </c>
      <c r="G160" s="168">
        <v>23</v>
      </c>
      <c r="H160" s="371">
        <v>5.08</v>
      </c>
      <c r="I160" s="113">
        <f t="shared" si="2"/>
        <v>116.84</v>
      </c>
    </row>
    <row r="161" spans="1:9" ht="15">
      <c r="A161" s="179">
        <v>159</v>
      </c>
      <c r="B161" s="309" t="s">
        <v>1056</v>
      </c>
      <c r="C161" s="309" t="s">
        <v>1055</v>
      </c>
      <c r="D161" s="170">
        <v>348507</v>
      </c>
      <c r="E161" s="170"/>
      <c r="F161" s="168" t="s">
        <v>330</v>
      </c>
      <c r="G161" s="168">
        <v>23</v>
      </c>
      <c r="H161" s="371">
        <v>33.45</v>
      </c>
      <c r="I161" s="113">
        <f t="shared" si="2"/>
        <v>769.35</v>
      </c>
    </row>
    <row r="162" spans="1:9" ht="15">
      <c r="A162" s="179">
        <v>160</v>
      </c>
      <c r="B162" s="125" t="s">
        <v>382</v>
      </c>
      <c r="C162" s="309" t="s">
        <v>942</v>
      </c>
      <c r="D162" s="170">
        <v>446589</v>
      </c>
      <c r="E162" s="170"/>
      <c r="F162" s="168" t="s">
        <v>1057</v>
      </c>
      <c r="G162" s="168">
        <v>25</v>
      </c>
      <c r="H162" s="371">
        <v>8.34</v>
      </c>
      <c r="I162" s="113">
        <f t="shared" si="2"/>
        <v>208.5</v>
      </c>
    </row>
    <row r="163" spans="1:9" ht="15">
      <c r="A163" s="179">
        <v>161</v>
      </c>
      <c r="B163" s="125" t="s">
        <v>383</v>
      </c>
      <c r="C163" s="309" t="s">
        <v>942</v>
      </c>
      <c r="D163" s="170">
        <v>460774</v>
      </c>
      <c r="E163" s="170"/>
      <c r="F163" s="168" t="s">
        <v>330</v>
      </c>
      <c r="G163" s="168">
        <v>100</v>
      </c>
      <c r="H163" s="371">
        <v>2.4</v>
      </c>
      <c r="I163" s="113">
        <f t="shared" si="2"/>
        <v>240</v>
      </c>
    </row>
    <row r="164" spans="1:9" ht="15">
      <c r="A164" s="179">
        <v>162</v>
      </c>
      <c r="B164" s="125" t="s">
        <v>384</v>
      </c>
      <c r="C164" s="309" t="s">
        <v>942</v>
      </c>
      <c r="D164" s="170">
        <v>446592</v>
      </c>
      <c r="E164" s="170"/>
      <c r="F164" s="168" t="s">
        <v>330</v>
      </c>
      <c r="G164" s="168">
        <v>100</v>
      </c>
      <c r="H164" s="371">
        <v>4.89</v>
      </c>
      <c r="I164" s="113">
        <f t="shared" si="2"/>
        <v>488.99999999999994</v>
      </c>
    </row>
    <row r="165" spans="1:9" ht="15">
      <c r="A165" s="179">
        <v>163</v>
      </c>
      <c r="B165" s="310" t="s">
        <v>1058</v>
      </c>
      <c r="C165" s="311" t="s">
        <v>1059</v>
      </c>
      <c r="D165" s="112">
        <v>285668</v>
      </c>
      <c r="E165" s="112"/>
      <c r="F165" s="112" t="s">
        <v>1060</v>
      </c>
      <c r="G165" s="168">
        <v>125</v>
      </c>
      <c r="H165" s="371">
        <v>34.73</v>
      </c>
      <c r="I165" s="113">
        <f t="shared" si="2"/>
        <v>4341.25</v>
      </c>
    </row>
    <row r="166" spans="1:9" ht="15">
      <c r="A166" s="179">
        <v>164</v>
      </c>
      <c r="B166" s="309" t="s">
        <v>385</v>
      </c>
      <c r="C166" s="309" t="s">
        <v>942</v>
      </c>
      <c r="D166" s="170">
        <v>352445</v>
      </c>
      <c r="E166" s="170"/>
      <c r="F166" s="168" t="s">
        <v>330</v>
      </c>
      <c r="G166" s="168">
        <v>10</v>
      </c>
      <c r="H166" s="371">
        <v>43.15</v>
      </c>
      <c r="I166" s="113">
        <f t="shared" si="2"/>
        <v>431.5</v>
      </c>
    </row>
    <row r="167" spans="1:9" ht="15">
      <c r="A167" s="179">
        <v>165</v>
      </c>
      <c r="B167" s="309" t="s">
        <v>386</v>
      </c>
      <c r="C167" s="309" t="s">
        <v>942</v>
      </c>
      <c r="D167" s="170">
        <v>441167</v>
      </c>
      <c r="E167" s="170"/>
      <c r="F167" s="168" t="s">
        <v>330</v>
      </c>
      <c r="G167" s="168">
        <v>10</v>
      </c>
      <c r="H167" s="371">
        <v>53.61</v>
      </c>
      <c r="I167" s="113">
        <f t="shared" si="2"/>
        <v>536.1</v>
      </c>
    </row>
    <row r="168" spans="1:9" ht="15">
      <c r="A168" s="179">
        <v>166</v>
      </c>
      <c r="B168" s="309" t="s">
        <v>387</v>
      </c>
      <c r="C168" s="309" t="s">
        <v>942</v>
      </c>
      <c r="D168" s="170">
        <v>352444</v>
      </c>
      <c r="E168" s="170"/>
      <c r="F168" s="168" t="s">
        <v>330</v>
      </c>
      <c r="G168" s="168">
        <v>10</v>
      </c>
      <c r="H168" s="371">
        <v>79.59</v>
      </c>
      <c r="I168" s="113">
        <f t="shared" si="2"/>
        <v>795.9000000000001</v>
      </c>
    </row>
    <row r="169" spans="1:9" ht="15">
      <c r="A169" s="179">
        <v>167</v>
      </c>
      <c r="B169" s="309" t="s">
        <v>388</v>
      </c>
      <c r="C169" s="309" t="s">
        <v>942</v>
      </c>
      <c r="D169" s="170">
        <v>441168</v>
      </c>
      <c r="E169" s="170"/>
      <c r="F169" s="168" t="s">
        <v>330</v>
      </c>
      <c r="G169" s="168">
        <v>10</v>
      </c>
      <c r="H169" s="371">
        <v>119.99</v>
      </c>
      <c r="I169" s="113">
        <f t="shared" si="2"/>
        <v>1199.8999999999999</v>
      </c>
    </row>
    <row r="170" spans="1:9" ht="15">
      <c r="A170" s="179">
        <v>168</v>
      </c>
      <c r="B170" s="309" t="s">
        <v>389</v>
      </c>
      <c r="C170" s="309" t="s">
        <v>942</v>
      </c>
      <c r="D170" s="170">
        <v>440570</v>
      </c>
      <c r="E170" s="170"/>
      <c r="F170" s="168" t="s">
        <v>330</v>
      </c>
      <c r="G170" s="168">
        <v>10</v>
      </c>
      <c r="H170" s="371">
        <v>131.18</v>
      </c>
      <c r="I170" s="113">
        <f t="shared" si="2"/>
        <v>1311.8000000000002</v>
      </c>
    </row>
    <row r="171" spans="1:9" ht="15">
      <c r="A171" s="179">
        <v>169</v>
      </c>
      <c r="B171" s="309" t="s">
        <v>1061</v>
      </c>
      <c r="C171" s="309" t="s">
        <v>1062</v>
      </c>
      <c r="D171" s="170">
        <v>469251</v>
      </c>
      <c r="E171" s="170"/>
      <c r="F171" s="168" t="s">
        <v>390</v>
      </c>
      <c r="G171" s="168">
        <v>30</v>
      </c>
      <c r="H171" s="371">
        <v>26.85</v>
      </c>
      <c r="I171" s="113">
        <f t="shared" si="2"/>
        <v>805.5</v>
      </c>
    </row>
    <row r="172" spans="1:9" ht="15">
      <c r="A172" s="179">
        <v>170</v>
      </c>
      <c r="B172" s="309" t="s">
        <v>1063</v>
      </c>
      <c r="C172" s="309" t="s">
        <v>1064</v>
      </c>
      <c r="D172" s="170">
        <v>150919</v>
      </c>
      <c r="E172" s="170"/>
      <c r="F172" s="168" t="s">
        <v>1065</v>
      </c>
      <c r="G172" s="168">
        <v>30</v>
      </c>
      <c r="H172" s="371">
        <v>146.04</v>
      </c>
      <c r="I172" s="113">
        <f t="shared" si="2"/>
        <v>4381.2</v>
      </c>
    </row>
    <row r="173" spans="1:9" ht="15">
      <c r="A173" s="179">
        <v>171</v>
      </c>
      <c r="B173" s="309" t="s">
        <v>1066</v>
      </c>
      <c r="C173" s="309" t="s">
        <v>1067</v>
      </c>
      <c r="D173" s="170">
        <v>454883</v>
      </c>
      <c r="E173" s="170"/>
      <c r="F173" s="168" t="s">
        <v>1068</v>
      </c>
      <c r="G173" s="168">
        <v>50</v>
      </c>
      <c r="H173" s="371">
        <v>153.86</v>
      </c>
      <c r="I173" s="113">
        <f t="shared" si="2"/>
        <v>7693.000000000001</v>
      </c>
    </row>
    <row r="174" spans="1:9" ht="15">
      <c r="A174" s="179">
        <v>172</v>
      </c>
      <c r="B174" s="309" t="s">
        <v>1069</v>
      </c>
      <c r="C174" s="309" t="s">
        <v>942</v>
      </c>
      <c r="D174" s="170">
        <v>128511</v>
      </c>
      <c r="E174" s="170"/>
      <c r="F174" s="168" t="s">
        <v>392</v>
      </c>
      <c r="G174" s="168">
        <v>30</v>
      </c>
      <c r="H174" s="371">
        <v>17.6</v>
      </c>
      <c r="I174" s="113">
        <f t="shared" si="2"/>
        <v>528</v>
      </c>
    </row>
    <row r="175" spans="1:9" ht="15">
      <c r="A175" s="179">
        <v>173</v>
      </c>
      <c r="B175" s="309" t="s">
        <v>1070</v>
      </c>
      <c r="C175" s="309" t="s">
        <v>942</v>
      </c>
      <c r="D175" s="170">
        <v>405276</v>
      </c>
      <c r="E175" s="170"/>
      <c r="F175" s="168" t="s">
        <v>393</v>
      </c>
      <c r="G175" s="168">
        <v>30</v>
      </c>
      <c r="H175" s="371">
        <v>3.93</v>
      </c>
      <c r="I175" s="113">
        <f t="shared" si="2"/>
        <v>117.9</v>
      </c>
    </row>
    <row r="176" spans="1:9" ht="30">
      <c r="A176" s="179">
        <v>174</v>
      </c>
      <c r="B176" s="309" t="s">
        <v>630</v>
      </c>
      <c r="C176" s="309" t="s">
        <v>1071</v>
      </c>
      <c r="D176" s="170">
        <v>218308</v>
      </c>
      <c r="E176" s="170">
        <v>38128</v>
      </c>
      <c r="F176" s="168" t="s">
        <v>332</v>
      </c>
      <c r="G176" s="168">
        <v>800</v>
      </c>
      <c r="H176" s="371">
        <v>10.49</v>
      </c>
      <c r="I176" s="113">
        <f t="shared" si="2"/>
        <v>8392</v>
      </c>
    </row>
    <row r="177" spans="1:9" ht="15">
      <c r="A177" s="179">
        <v>175</v>
      </c>
      <c r="B177" s="309" t="s">
        <v>1072</v>
      </c>
      <c r="C177" s="309" t="s">
        <v>1049</v>
      </c>
      <c r="D177" s="170">
        <v>446216</v>
      </c>
      <c r="E177" s="170"/>
      <c r="F177" s="168" t="s">
        <v>267</v>
      </c>
      <c r="G177" s="168">
        <v>8</v>
      </c>
      <c r="H177" s="371">
        <v>45.67</v>
      </c>
      <c r="I177" s="113">
        <f t="shared" si="2"/>
        <v>365.36</v>
      </c>
    </row>
    <row r="178" spans="1:9" ht="15">
      <c r="A178" s="179">
        <v>176</v>
      </c>
      <c r="B178" s="310" t="s">
        <v>1073</v>
      </c>
      <c r="C178" s="311" t="s">
        <v>1074</v>
      </c>
      <c r="D178" s="112">
        <v>377093</v>
      </c>
      <c r="E178" s="112"/>
      <c r="F178" s="112" t="s">
        <v>264</v>
      </c>
      <c r="G178" s="112">
        <v>250</v>
      </c>
      <c r="H178" s="371">
        <v>16.93</v>
      </c>
      <c r="I178" s="113">
        <f t="shared" si="2"/>
        <v>4232.5</v>
      </c>
    </row>
    <row r="179" spans="1:9" ht="15">
      <c r="A179" s="179">
        <v>177</v>
      </c>
      <c r="B179" s="310" t="s">
        <v>1075</v>
      </c>
      <c r="C179" s="311" t="s">
        <v>1076</v>
      </c>
      <c r="D179" s="112">
        <v>435089</v>
      </c>
      <c r="E179" s="112"/>
      <c r="F179" s="112" t="s">
        <v>264</v>
      </c>
      <c r="G179" s="112">
        <v>500</v>
      </c>
      <c r="H179" s="371">
        <v>10.93</v>
      </c>
      <c r="I179" s="113">
        <f t="shared" si="2"/>
        <v>5465</v>
      </c>
    </row>
    <row r="180" spans="1:9" ht="15">
      <c r="A180" s="179">
        <v>178</v>
      </c>
      <c r="B180" s="310" t="s">
        <v>1077</v>
      </c>
      <c r="C180" s="311" t="s">
        <v>942</v>
      </c>
      <c r="D180" s="112">
        <v>233589</v>
      </c>
      <c r="E180" s="112"/>
      <c r="F180" s="112" t="s">
        <v>264</v>
      </c>
      <c r="G180" s="112">
        <v>2500</v>
      </c>
      <c r="H180" s="371">
        <v>1.18</v>
      </c>
      <c r="I180" s="113">
        <f t="shared" si="2"/>
        <v>2950</v>
      </c>
    </row>
    <row r="181" spans="1:9" ht="15">
      <c r="A181" s="179">
        <v>179</v>
      </c>
      <c r="B181" s="310" t="s">
        <v>1078</v>
      </c>
      <c r="C181" s="311" t="s">
        <v>1079</v>
      </c>
      <c r="D181" s="112" t="s">
        <v>942</v>
      </c>
      <c r="E181" s="112"/>
      <c r="F181" s="112" t="s">
        <v>1080</v>
      </c>
      <c r="G181" s="112">
        <v>250</v>
      </c>
      <c r="H181" s="371">
        <v>4.42</v>
      </c>
      <c r="I181" s="113">
        <f t="shared" si="2"/>
        <v>1105</v>
      </c>
    </row>
    <row r="182" spans="1:9" ht="15">
      <c r="A182" s="179">
        <v>180</v>
      </c>
      <c r="B182" s="310" t="s">
        <v>1081</v>
      </c>
      <c r="C182" s="311" t="s">
        <v>759</v>
      </c>
      <c r="D182" s="112">
        <v>350605</v>
      </c>
      <c r="E182" s="112"/>
      <c r="F182" s="112" t="s">
        <v>264</v>
      </c>
      <c r="G182" s="112">
        <v>50</v>
      </c>
      <c r="H182" s="371">
        <v>51.46</v>
      </c>
      <c r="I182" s="113">
        <f t="shared" si="2"/>
        <v>2573</v>
      </c>
    </row>
    <row r="183" spans="1:9" ht="15">
      <c r="A183" s="179">
        <v>181</v>
      </c>
      <c r="B183" s="310" t="s">
        <v>1082</v>
      </c>
      <c r="C183" s="311" t="s">
        <v>1083</v>
      </c>
      <c r="D183" s="112">
        <v>299362</v>
      </c>
      <c r="E183" s="112"/>
      <c r="F183" s="112" t="s">
        <v>1084</v>
      </c>
      <c r="G183" s="112">
        <v>25</v>
      </c>
      <c r="H183" s="371">
        <v>1346.72</v>
      </c>
      <c r="I183" s="113">
        <f t="shared" si="2"/>
        <v>33668</v>
      </c>
    </row>
    <row r="184" spans="1:9" ht="15">
      <c r="A184" s="179">
        <v>182</v>
      </c>
      <c r="B184" s="310" t="s">
        <v>1085</v>
      </c>
      <c r="C184" s="311" t="s">
        <v>1086</v>
      </c>
      <c r="D184" s="112" t="s">
        <v>942</v>
      </c>
      <c r="E184" s="112"/>
      <c r="F184" s="112" t="s">
        <v>1087</v>
      </c>
      <c r="G184" s="112">
        <v>125</v>
      </c>
      <c r="H184" s="371">
        <v>28.03</v>
      </c>
      <c r="I184" s="113">
        <f t="shared" si="2"/>
        <v>3503.75</v>
      </c>
    </row>
    <row r="185" spans="1:9" ht="15">
      <c r="A185" s="179">
        <v>183</v>
      </c>
      <c r="B185" s="310" t="s">
        <v>1088</v>
      </c>
      <c r="C185" s="311" t="s">
        <v>942</v>
      </c>
      <c r="D185" s="112">
        <v>375137</v>
      </c>
      <c r="E185" s="112"/>
      <c r="F185" s="112" t="s">
        <v>264</v>
      </c>
      <c r="G185" s="112">
        <v>75</v>
      </c>
      <c r="H185" s="371">
        <v>15.49</v>
      </c>
      <c r="I185" s="113">
        <f t="shared" si="2"/>
        <v>1161.75</v>
      </c>
    </row>
    <row r="186" spans="1:9" ht="15">
      <c r="A186" s="179">
        <v>184</v>
      </c>
      <c r="B186" s="310" t="s">
        <v>1089</v>
      </c>
      <c r="C186" s="311" t="s">
        <v>1090</v>
      </c>
      <c r="D186" s="112">
        <v>352057</v>
      </c>
      <c r="E186" s="112"/>
      <c r="F186" s="112" t="s">
        <v>1091</v>
      </c>
      <c r="G186" s="112">
        <v>75</v>
      </c>
      <c r="H186" s="371">
        <v>11.67</v>
      </c>
      <c r="I186" s="113">
        <f t="shared" si="2"/>
        <v>875.25</v>
      </c>
    </row>
    <row r="187" spans="1:9" ht="15">
      <c r="A187" s="179">
        <v>185</v>
      </c>
      <c r="B187" s="310" t="s">
        <v>1092</v>
      </c>
      <c r="C187" s="311" t="s">
        <v>1064</v>
      </c>
      <c r="D187" s="112">
        <v>302243</v>
      </c>
      <c r="E187" s="112"/>
      <c r="F187" s="112" t="s">
        <v>1036</v>
      </c>
      <c r="G187" s="112">
        <v>125</v>
      </c>
      <c r="H187" s="371">
        <v>139.78</v>
      </c>
      <c r="I187" s="113">
        <f t="shared" si="2"/>
        <v>17472.5</v>
      </c>
    </row>
    <row r="188" spans="1:9" ht="15">
      <c r="A188" s="179">
        <v>186</v>
      </c>
      <c r="B188" s="310" t="s">
        <v>1093</v>
      </c>
      <c r="C188" s="311" t="s">
        <v>1090</v>
      </c>
      <c r="D188" s="112">
        <v>474942</v>
      </c>
      <c r="E188" s="112"/>
      <c r="F188" s="112" t="s">
        <v>1091</v>
      </c>
      <c r="G188" s="112">
        <v>150</v>
      </c>
      <c r="H188" s="371">
        <v>12.81</v>
      </c>
      <c r="I188" s="113">
        <f t="shared" si="2"/>
        <v>1921.5</v>
      </c>
    </row>
    <row r="189" spans="1:9" ht="15">
      <c r="A189" s="179">
        <v>187</v>
      </c>
      <c r="B189" s="310" t="s">
        <v>1094</v>
      </c>
      <c r="C189" s="311" t="s">
        <v>1095</v>
      </c>
      <c r="D189" s="112">
        <v>451979</v>
      </c>
      <c r="E189" s="112"/>
      <c r="F189" s="112" t="s">
        <v>392</v>
      </c>
      <c r="G189" s="112">
        <v>75</v>
      </c>
      <c r="H189" s="371">
        <v>33.11</v>
      </c>
      <c r="I189" s="113">
        <f t="shared" si="2"/>
        <v>2483.25</v>
      </c>
    </row>
    <row r="190" spans="1:9" ht="15">
      <c r="A190" s="179">
        <v>188</v>
      </c>
      <c r="B190" s="310" t="s">
        <v>1096</v>
      </c>
      <c r="C190" s="311" t="s">
        <v>1064</v>
      </c>
      <c r="D190" s="112">
        <v>384504</v>
      </c>
      <c r="E190" s="112"/>
      <c r="F190" s="112" t="s">
        <v>1036</v>
      </c>
      <c r="G190" s="112">
        <v>25</v>
      </c>
      <c r="H190" s="371">
        <v>362.44</v>
      </c>
      <c r="I190" s="113">
        <f t="shared" si="2"/>
        <v>9061</v>
      </c>
    </row>
    <row r="191" spans="1:9" ht="15">
      <c r="A191" s="179">
        <v>189</v>
      </c>
      <c r="B191" s="310" t="s">
        <v>1097</v>
      </c>
      <c r="C191" s="311" t="s">
        <v>1064</v>
      </c>
      <c r="D191" s="112">
        <v>384505</v>
      </c>
      <c r="E191" s="112"/>
      <c r="F191" s="112" t="s">
        <v>1036</v>
      </c>
      <c r="G191" s="112">
        <v>25</v>
      </c>
      <c r="H191" s="371">
        <v>347.33</v>
      </c>
      <c r="I191" s="113">
        <f t="shared" si="2"/>
        <v>8683.25</v>
      </c>
    </row>
    <row r="192" spans="2:9" ht="15">
      <c r="B192" s="110"/>
      <c r="C192" s="110"/>
      <c r="D192" s="110"/>
      <c r="E192" s="110"/>
      <c r="F192" s="110"/>
      <c r="G192" s="110"/>
      <c r="I192" s="110"/>
    </row>
    <row r="193" spans="1:9" ht="15">
      <c r="A193" s="686" t="s">
        <v>649</v>
      </c>
      <c r="B193" s="686"/>
      <c r="C193" s="686"/>
      <c r="D193" s="686"/>
      <c r="E193" s="686"/>
      <c r="F193" s="686"/>
      <c r="G193" s="686"/>
      <c r="H193" s="686"/>
      <c r="I193" s="422">
        <f>SUM(I3:I191)</f>
        <v>1770253.4899999998</v>
      </c>
    </row>
    <row r="195" spans="1:9" ht="15">
      <c r="A195" s="725" t="s">
        <v>1166</v>
      </c>
      <c r="B195" s="725"/>
      <c r="C195" s="725"/>
      <c r="D195" s="725"/>
      <c r="E195" s="725"/>
      <c r="F195" s="725"/>
      <c r="G195" s="725"/>
      <c r="H195" s="725"/>
      <c r="I195" s="725"/>
    </row>
  </sheetData>
  <sheetProtection password="CC3A" sheet="1" formatCells="0"/>
  <autoFilter ref="A2:I191">
    <sortState ref="A3:I195">
      <sortCondition sortBy="value" ref="A3:A195"/>
    </sortState>
  </autoFilter>
  <mergeCells count="3">
    <mergeCell ref="A1:I1"/>
    <mergeCell ref="A193:H193"/>
    <mergeCell ref="A195:I195"/>
  </mergeCells>
  <printOptions/>
  <pageMargins left="0.5118110236220472" right="0.5118110236220472" top="0.7874015748031497" bottom="0.7874015748031497" header="0.31496062992125984" footer="0.31496062992125984"/>
  <pageSetup fitToHeight="0" fitToWidth="1" horizontalDpi="600" verticalDpi="600" orientation="landscape" paperSize="9" scale="70" r:id="rId1"/>
</worksheet>
</file>

<file path=xl/worksheets/sheet15.xml><?xml version="1.0" encoding="utf-8"?>
<worksheet xmlns="http://schemas.openxmlformats.org/spreadsheetml/2006/main" xmlns:r="http://schemas.openxmlformats.org/officeDocument/2006/relationships">
  <sheetPr>
    <pageSetUpPr fitToPage="1"/>
  </sheetPr>
  <dimension ref="A1:G19"/>
  <sheetViews>
    <sheetView showGridLines="0" view="pageBreakPreview" zoomScale="110" zoomScaleNormal="110" zoomScaleSheetLayoutView="110" zoomScalePageLayoutView="0" workbookViewId="0" topLeftCell="A1">
      <selection activeCell="A1" sqref="A1:G19"/>
    </sheetView>
  </sheetViews>
  <sheetFormatPr defaultColWidth="9.140625" defaultRowHeight="51.75" customHeight="1"/>
  <cols>
    <col min="1" max="1" width="4.8515625" style="292" customWidth="1"/>
    <col min="2" max="2" width="37.00390625" style="389" customWidth="1"/>
    <col min="3" max="3" width="16.140625" style="292" customWidth="1"/>
    <col min="4" max="5" width="9.140625" style="292" customWidth="1"/>
    <col min="6" max="6" width="12.57421875" style="292" customWidth="1"/>
    <col min="7" max="7" width="15.7109375" style="292" customWidth="1"/>
    <col min="8" max="16384" width="9.140625" style="292" customWidth="1"/>
  </cols>
  <sheetData>
    <row r="1" spans="1:7" ht="43.5" customHeight="1">
      <c r="A1" s="372" t="s">
        <v>263</v>
      </c>
      <c r="B1" s="373" t="s">
        <v>1100</v>
      </c>
      <c r="C1" s="374" t="s">
        <v>1153</v>
      </c>
      <c r="D1" s="375" t="s">
        <v>262</v>
      </c>
      <c r="E1" s="374" t="s">
        <v>1101</v>
      </c>
      <c r="F1" s="374" t="s">
        <v>455</v>
      </c>
      <c r="G1" s="376" t="s">
        <v>1136</v>
      </c>
    </row>
    <row r="2" spans="1:7" ht="63" customHeight="1">
      <c r="A2" s="377">
        <v>1</v>
      </c>
      <c r="B2" s="378" t="s">
        <v>1102</v>
      </c>
      <c r="C2" s="379">
        <v>2771</v>
      </c>
      <c r="D2" s="379" t="s">
        <v>1103</v>
      </c>
      <c r="E2" s="380">
        <v>602</v>
      </c>
      <c r="F2" s="350">
        <v>96.38</v>
      </c>
      <c r="G2" s="381">
        <f>E2*F2</f>
        <v>58020.759999999995</v>
      </c>
    </row>
    <row r="3" spans="1:7" ht="61.5" customHeight="1">
      <c r="A3" s="377">
        <v>2</v>
      </c>
      <c r="B3" s="378" t="s">
        <v>1104</v>
      </c>
      <c r="C3" s="379">
        <v>2771</v>
      </c>
      <c r="D3" s="379" t="s">
        <v>1103</v>
      </c>
      <c r="E3" s="380">
        <v>2376</v>
      </c>
      <c r="F3" s="350">
        <v>107.56</v>
      </c>
      <c r="G3" s="381">
        <f aca="true" t="shared" si="0" ref="G3:G16">E3*F3</f>
        <v>255562.56</v>
      </c>
    </row>
    <row r="4" spans="1:7" ht="60.75" customHeight="1">
      <c r="A4" s="377">
        <v>3</v>
      </c>
      <c r="B4" s="378" t="s">
        <v>1105</v>
      </c>
      <c r="C4" s="379">
        <v>2771</v>
      </c>
      <c r="D4" s="379" t="s">
        <v>1103</v>
      </c>
      <c r="E4" s="380">
        <v>528</v>
      </c>
      <c r="F4" s="350">
        <v>144</v>
      </c>
      <c r="G4" s="381">
        <f t="shared" si="0"/>
        <v>76032</v>
      </c>
    </row>
    <row r="5" spans="1:7" ht="60.75" customHeight="1">
      <c r="A5" s="377">
        <v>4</v>
      </c>
      <c r="B5" s="378" t="s">
        <v>1106</v>
      </c>
      <c r="C5" s="379">
        <v>2771</v>
      </c>
      <c r="D5" s="379" t="s">
        <v>1103</v>
      </c>
      <c r="E5" s="380">
        <v>121</v>
      </c>
      <c r="F5" s="350">
        <v>100</v>
      </c>
      <c r="G5" s="381">
        <f t="shared" si="0"/>
        <v>12100</v>
      </c>
    </row>
    <row r="6" spans="1:7" ht="70.5" customHeight="1">
      <c r="A6" s="377">
        <v>5</v>
      </c>
      <c r="B6" s="378" t="s">
        <v>1107</v>
      </c>
      <c r="C6" s="379">
        <v>2771</v>
      </c>
      <c r="D6" s="379" t="s">
        <v>1103</v>
      </c>
      <c r="E6" s="380">
        <v>476</v>
      </c>
      <c r="F6" s="350">
        <v>131.48</v>
      </c>
      <c r="G6" s="381">
        <f t="shared" si="0"/>
        <v>62584.479999999996</v>
      </c>
    </row>
    <row r="7" spans="1:7" ht="60.75" customHeight="1">
      <c r="A7" s="377">
        <v>6</v>
      </c>
      <c r="B7" s="378" t="s">
        <v>1108</v>
      </c>
      <c r="C7" s="379">
        <v>2771</v>
      </c>
      <c r="D7" s="379" t="s">
        <v>1103</v>
      </c>
      <c r="E7" s="380">
        <v>106</v>
      </c>
      <c r="F7" s="350">
        <v>220</v>
      </c>
      <c r="G7" s="381">
        <f t="shared" si="0"/>
        <v>23320</v>
      </c>
    </row>
    <row r="8" spans="1:7" ht="48" customHeight="1">
      <c r="A8" s="377">
        <v>7</v>
      </c>
      <c r="B8" s="378" t="s">
        <v>1109</v>
      </c>
      <c r="C8" s="379">
        <v>2020</v>
      </c>
      <c r="D8" s="379" t="s">
        <v>1103</v>
      </c>
      <c r="E8" s="380">
        <f>12+6</f>
        <v>18</v>
      </c>
      <c r="F8" s="350">
        <v>280.33</v>
      </c>
      <c r="G8" s="381">
        <f t="shared" si="0"/>
        <v>5045.94</v>
      </c>
    </row>
    <row r="9" spans="1:7" ht="48.75" customHeight="1">
      <c r="A9" s="377">
        <v>8</v>
      </c>
      <c r="B9" s="378" t="s">
        <v>1110</v>
      </c>
      <c r="C9" s="379">
        <v>2020</v>
      </c>
      <c r="D9" s="379" t="s">
        <v>1103</v>
      </c>
      <c r="E9" s="380">
        <f>21+10</f>
        <v>31</v>
      </c>
      <c r="F9" s="350">
        <v>527.5</v>
      </c>
      <c r="G9" s="381">
        <f t="shared" si="0"/>
        <v>16352.5</v>
      </c>
    </row>
    <row r="10" spans="1:7" ht="51" customHeight="1">
      <c r="A10" s="377">
        <v>9</v>
      </c>
      <c r="B10" s="378" t="s">
        <v>1111</v>
      </c>
      <c r="C10" s="379">
        <v>2020</v>
      </c>
      <c r="D10" s="379" t="s">
        <v>1103</v>
      </c>
      <c r="E10" s="380">
        <f>21+10</f>
        <v>31</v>
      </c>
      <c r="F10" s="350">
        <v>1116.83</v>
      </c>
      <c r="G10" s="381">
        <f t="shared" si="0"/>
        <v>34621.729999999996</v>
      </c>
    </row>
    <row r="11" spans="1:7" ht="51" customHeight="1">
      <c r="A11" s="377">
        <v>10</v>
      </c>
      <c r="B11" s="378" t="s">
        <v>1112</v>
      </c>
      <c r="C11" s="379">
        <v>2020</v>
      </c>
      <c r="D11" s="379" t="s">
        <v>1103</v>
      </c>
      <c r="E11" s="380">
        <f>5+2</f>
        <v>7</v>
      </c>
      <c r="F11" s="350">
        <v>100</v>
      </c>
      <c r="G11" s="381">
        <f t="shared" si="0"/>
        <v>700</v>
      </c>
    </row>
    <row r="12" spans="1:7" ht="49.5" customHeight="1">
      <c r="A12" s="377">
        <v>11</v>
      </c>
      <c r="B12" s="378" t="s">
        <v>1113</v>
      </c>
      <c r="C12" s="379">
        <v>2020</v>
      </c>
      <c r="D12" s="379" t="s">
        <v>1103</v>
      </c>
      <c r="E12" s="380">
        <f>20+10</f>
        <v>30</v>
      </c>
      <c r="F12" s="350">
        <v>155.06</v>
      </c>
      <c r="G12" s="381">
        <f t="shared" si="0"/>
        <v>4651.8</v>
      </c>
    </row>
    <row r="13" spans="1:7" ht="48" customHeight="1">
      <c r="A13" s="377">
        <v>12</v>
      </c>
      <c r="B13" s="378" t="s">
        <v>1114</v>
      </c>
      <c r="C13" s="379">
        <v>2020</v>
      </c>
      <c r="D13" s="379" t="s">
        <v>1103</v>
      </c>
      <c r="E13" s="380">
        <f>21+10</f>
        <v>31</v>
      </c>
      <c r="F13" s="350">
        <v>133.33</v>
      </c>
      <c r="G13" s="381">
        <f t="shared" si="0"/>
        <v>4133.2300000000005</v>
      </c>
    </row>
    <row r="14" spans="1:7" ht="38.25" customHeight="1">
      <c r="A14" s="382">
        <v>13</v>
      </c>
      <c r="B14" s="383" t="s">
        <v>1115</v>
      </c>
      <c r="C14" s="379">
        <v>3506</v>
      </c>
      <c r="D14" s="384" t="s">
        <v>1103</v>
      </c>
      <c r="E14" s="385">
        <f>56*6</f>
        <v>336</v>
      </c>
      <c r="F14" s="352">
        <v>126.5</v>
      </c>
      <c r="G14" s="381">
        <f t="shared" si="0"/>
        <v>42504</v>
      </c>
    </row>
    <row r="15" spans="1:7" ht="33.75" customHeight="1">
      <c r="A15" s="286">
        <v>14</v>
      </c>
      <c r="B15" s="386" t="s">
        <v>1116</v>
      </c>
      <c r="C15" s="379">
        <v>3506</v>
      </c>
      <c r="D15" s="379" t="s">
        <v>1103</v>
      </c>
      <c r="E15" s="385">
        <f>37*2</f>
        <v>74</v>
      </c>
      <c r="F15" s="352">
        <v>113</v>
      </c>
      <c r="G15" s="381">
        <f t="shared" si="0"/>
        <v>8362</v>
      </c>
    </row>
    <row r="16" spans="1:7" ht="37.5" customHeight="1">
      <c r="A16" s="286">
        <v>15</v>
      </c>
      <c r="B16" s="386" t="s">
        <v>1117</v>
      </c>
      <c r="C16" s="379">
        <v>16519</v>
      </c>
      <c r="D16" s="387" t="s">
        <v>1103</v>
      </c>
      <c r="E16" s="380">
        <v>16</v>
      </c>
      <c r="F16" s="352">
        <v>1103.33</v>
      </c>
      <c r="G16" s="381">
        <f t="shared" si="0"/>
        <v>17653.28</v>
      </c>
    </row>
    <row r="17" spans="1:7" ht="22.5" customHeight="1">
      <c r="A17" s="731" t="s">
        <v>1118</v>
      </c>
      <c r="B17" s="732"/>
      <c r="C17" s="732"/>
      <c r="D17" s="732"/>
      <c r="E17" s="732"/>
      <c r="F17" s="733"/>
      <c r="G17" s="388">
        <f>SUM(G2:G16)</f>
        <v>621644.28</v>
      </c>
    </row>
    <row r="18" ht="17.25" customHeight="1">
      <c r="G18" s="295"/>
    </row>
    <row r="19" spans="1:7" ht="12.75">
      <c r="A19" s="734" t="s">
        <v>1166</v>
      </c>
      <c r="B19" s="734"/>
      <c r="C19" s="734"/>
      <c r="D19" s="734"/>
      <c r="E19" s="734"/>
      <c r="F19" s="734"/>
      <c r="G19" s="734"/>
    </row>
  </sheetData>
  <sheetProtection password="CC3A" sheet="1"/>
  <mergeCells count="2">
    <mergeCell ref="A17:F17"/>
    <mergeCell ref="A19:G19"/>
  </mergeCells>
  <printOptions/>
  <pageMargins left="0.5118110236220472" right="0.5118110236220472" top="0.7874015748031497" bottom="0.7874015748031497" header="0.31496062992125984" footer="0.31496062992125984"/>
  <pageSetup fitToHeight="1" fitToWidth="1" horizontalDpi="600" verticalDpi="600" orientation="portrait" paperSize="9" scale="85" r:id="rId1"/>
  <rowBreaks count="1" manualBreakCount="1">
    <brk id="18" max="255" man="1"/>
  </rowBreaks>
</worksheet>
</file>

<file path=xl/worksheets/sheet16.xml><?xml version="1.0" encoding="utf-8"?>
<worksheet xmlns="http://schemas.openxmlformats.org/spreadsheetml/2006/main" xmlns:r="http://schemas.openxmlformats.org/officeDocument/2006/relationships">
  <sheetPr>
    <pageSetUpPr fitToPage="1"/>
  </sheetPr>
  <dimension ref="A1:M52"/>
  <sheetViews>
    <sheetView showGridLines="0" zoomScaleSheetLayoutView="100" zoomScalePageLayoutView="0" workbookViewId="0" topLeftCell="A1">
      <selection activeCell="F3" sqref="F3"/>
    </sheetView>
  </sheetViews>
  <sheetFormatPr defaultColWidth="9.140625" defaultRowHeight="15"/>
  <cols>
    <col min="1" max="1" width="24.57421875" style="110" customWidth="1"/>
    <col min="2" max="2" width="15.00390625" style="110" customWidth="1"/>
    <col min="3" max="3" width="11.8515625" style="110" customWidth="1"/>
    <col min="4" max="4" width="13.421875" style="110" customWidth="1"/>
    <col min="5" max="5" width="14.28125" style="110" customWidth="1"/>
    <col min="6" max="7" width="14.421875" style="110" customWidth="1"/>
    <col min="8" max="8" width="5.7109375" style="329" customWidth="1"/>
    <col min="9" max="9" width="23.28125" style="110" customWidth="1"/>
    <col min="10" max="10" width="6.140625" style="110" customWidth="1"/>
    <col min="11" max="11" width="14.28125" style="110" customWidth="1"/>
    <col min="12" max="12" width="4.8515625" style="110" customWidth="1"/>
    <col min="13" max="13" width="14.00390625" style="110" customWidth="1"/>
    <col min="14" max="16384" width="9.140625" style="110" customWidth="1"/>
  </cols>
  <sheetData>
    <row r="1" spans="1:8" ht="15.75" thickBot="1">
      <c r="A1" s="750" t="s">
        <v>665</v>
      </c>
      <c r="B1" s="751"/>
      <c r="C1" s="751"/>
      <c r="D1" s="751"/>
      <c r="E1" s="751"/>
      <c r="F1" s="751"/>
      <c r="G1" s="752"/>
      <c r="H1" s="313"/>
    </row>
    <row r="2" spans="1:13" ht="66.75" customHeight="1">
      <c r="A2" s="314" t="s">
        <v>159</v>
      </c>
      <c r="B2" s="245" t="s">
        <v>666</v>
      </c>
      <c r="C2" s="246" t="s">
        <v>1119</v>
      </c>
      <c r="D2" s="247" t="s">
        <v>1120</v>
      </c>
      <c r="E2" s="247" t="s">
        <v>1121</v>
      </c>
      <c r="F2" s="247" t="s">
        <v>668</v>
      </c>
      <c r="G2" s="315" t="s">
        <v>1122</v>
      </c>
      <c r="H2" s="316"/>
      <c r="I2" s="317" t="s">
        <v>666</v>
      </c>
      <c r="J2" s="318" t="s">
        <v>263</v>
      </c>
      <c r="K2" s="318" t="s">
        <v>1123</v>
      </c>
      <c r="L2" s="318" t="s">
        <v>263</v>
      </c>
      <c r="M2" s="319" t="s">
        <v>1124</v>
      </c>
    </row>
    <row r="3" spans="1:13" ht="15">
      <c r="A3" s="735" t="s">
        <v>669</v>
      </c>
      <c r="B3" s="248" t="s">
        <v>670</v>
      </c>
      <c r="C3" s="112">
        <v>57</v>
      </c>
      <c r="D3" s="249">
        <f aca="true" t="shared" si="0" ref="D3:D39">VLOOKUP($B3,TabelaValores,3,0)</f>
        <v>31</v>
      </c>
      <c r="E3" s="248">
        <v>19</v>
      </c>
      <c r="F3" s="256">
        <v>12.78</v>
      </c>
      <c r="G3" s="320">
        <f>D3+F3</f>
        <v>43.78</v>
      </c>
      <c r="H3" s="321"/>
      <c r="I3" s="322" t="s">
        <v>670</v>
      </c>
      <c r="J3" s="180">
        <v>1</v>
      </c>
      <c r="K3" s="256">
        <v>31</v>
      </c>
      <c r="L3" s="390">
        <v>7</v>
      </c>
      <c r="M3" s="323">
        <v>12.78</v>
      </c>
    </row>
    <row r="4" spans="1:13" ht="15">
      <c r="A4" s="735"/>
      <c r="B4" s="248" t="s">
        <v>671</v>
      </c>
      <c r="C4" s="112">
        <v>123</v>
      </c>
      <c r="D4" s="249">
        <f t="shared" si="0"/>
        <v>86.24</v>
      </c>
      <c r="E4" s="248">
        <v>41</v>
      </c>
      <c r="F4" s="256">
        <v>5</v>
      </c>
      <c r="G4" s="320">
        <f aca="true" t="shared" si="1" ref="G4:G39">D4+F4</f>
        <v>91.24</v>
      </c>
      <c r="H4" s="321"/>
      <c r="I4" s="322" t="s">
        <v>671</v>
      </c>
      <c r="J4" s="180">
        <v>2</v>
      </c>
      <c r="K4" s="256">
        <v>86.24</v>
      </c>
      <c r="L4" s="390">
        <v>8</v>
      </c>
      <c r="M4" s="323">
        <v>5</v>
      </c>
    </row>
    <row r="5" spans="1:13" ht="15">
      <c r="A5" s="735"/>
      <c r="B5" s="248" t="s">
        <v>672</v>
      </c>
      <c r="C5" s="112">
        <v>15</v>
      </c>
      <c r="D5" s="249">
        <f t="shared" si="0"/>
        <v>45.72</v>
      </c>
      <c r="E5" s="248">
        <v>5</v>
      </c>
      <c r="F5" s="256">
        <v>3.5</v>
      </c>
      <c r="G5" s="320">
        <f t="shared" si="1"/>
        <v>49.22</v>
      </c>
      <c r="H5" s="321"/>
      <c r="I5" s="322" t="s">
        <v>672</v>
      </c>
      <c r="J5" s="180">
        <v>3</v>
      </c>
      <c r="K5" s="256">
        <v>45.72</v>
      </c>
      <c r="L5" s="390">
        <v>9</v>
      </c>
      <c r="M5" s="323">
        <v>3.5</v>
      </c>
    </row>
    <row r="6" spans="1:13" ht="15">
      <c r="A6" s="735"/>
      <c r="B6" s="248" t="s">
        <v>673</v>
      </c>
      <c r="C6" s="112">
        <v>6</v>
      </c>
      <c r="D6" s="249">
        <f t="shared" si="0"/>
        <v>152.33</v>
      </c>
      <c r="E6" s="248">
        <v>2</v>
      </c>
      <c r="F6" s="256">
        <v>15</v>
      </c>
      <c r="G6" s="320">
        <f t="shared" si="1"/>
        <v>167.33</v>
      </c>
      <c r="H6" s="321"/>
      <c r="I6" s="322" t="s">
        <v>673</v>
      </c>
      <c r="J6" s="180">
        <v>4</v>
      </c>
      <c r="K6" s="256">
        <v>152.33</v>
      </c>
      <c r="L6" s="390">
        <v>10</v>
      </c>
      <c r="M6" s="323">
        <v>15</v>
      </c>
    </row>
    <row r="7" spans="1:13" ht="15">
      <c r="A7" s="735" t="s">
        <v>674</v>
      </c>
      <c r="B7" s="248" t="s">
        <v>670</v>
      </c>
      <c r="C7" s="112">
        <v>39</v>
      </c>
      <c r="D7" s="249">
        <f t="shared" si="0"/>
        <v>31</v>
      </c>
      <c r="E7" s="248">
        <v>13</v>
      </c>
      <c r="F7" s="256">
        <v>12.78</v>
      </c>
      <c r="G7" s="320">
        <f t="shared" si="1"/>
        <v>43.78</v>
      </c>
      <c r="H7" s="321"/>
      <c r="I7" s="322" t="s">
        <v>675</v>
      </c>
      <c r="J7" s="180">
        <v>5</v>
      </c>
      <c r="K7" s="256">
        <v>65.15</v>
      </c>
      <c r="L7" s="390">
        <v>11</v>
      </c>
      <c r="M7" s="323">
        <v>2.93</v>
      </c>
    </row>
    <row r="8" spans="1:13" ht="15.75" thickBot="1">
      <c r="A8" s="735"/>
      <c r="B8" s="248" t="s">
        <v>671</v>
      </c>
      <c r="C8" s="112">
        <v>18</v>
      </c>
      <c r="D8" s="249">
        <f t="shared" si="0"/>
        <v>86.24</v>
      </c>
      <c r="E8" s="248">
        <v>6</v>
      </c>
      <c r="F8" s="256">
        <v>5</v>
      </c>
      <c r="G8" s="320">
        <f t="shared" si="1"/>
        <v>91.24</v>
      </c>
      <c r="H8" s="321"/>
      <c r="I8" s="324" t="s">
        <v>676</v>
      </c>
      <c r="J8" s="325">
        <v>6</v>
      </c>
      <c r="K8" s="326">
        <v>39</v>
      </c>
      <c r="L8" s="391">
        <v>12</v>
      </c>
      <c r="M8" s="327">
        <v>5.75</v>
      </c>
    </row>
    <row r="9" spans="1:8" ht="15">
      <c r="A9" s="735"/>
      <c r="B9" s="248" t="s">
        <v>672</v>
      </c>
      <c r="C9" s="112">
        <v>15</v>
      </c>
      <c r="D9" s="249">
        <f t="shared" si="0"/>
        <v>45.72</v>
      </c>
      <c r="E9" s="248">
        <v>5</v>
      </c>
      <c r="F9" s="256">
        <v>3.5</v>
      </c>
      <c r="G9" s="320">
        <f t="shared" si="1"/>
        <v>49.22</v>
      </c>
      <c r="H9" s="321"/>
    </row>
    <row r="10" spans="1:8" ht="15">
      <c r="A10" s="735"/>
      <c r="B10" s="248" t="s">
        <v>676</v>
      </c>
      <c r="C10" s="112">
        <v>27</v>
      </c>
      <c r="D10" s="249">
        <f t="shared" si="0"/>
        <v>39</v>
      </c>
      <c r="E10" s="248">
        <v>9</v>
      </c>
      <c r="F10" s="256">
        <v>5.75</v>
      </c>
      <c r="G10" s="320">
        <f t="shared" si="1"/>
        <v>44.75</v>
      </c>
      <c r="H10" s="321"/>
    </row>
    <row r="11" spans="1:8" ht="15">
      <c r="A11" s="735" t="s">
        <v>624</v>
      </c>
      <c r="B11" s="248" t="s">
        <v>671</v>
      </c>
      <c r="C11" s="112">
        <v>3</v>
      </c>
      <c r="D11" s="249">
        <f t="shared" si="0"/>
        <v>86.24</v>
      </c>
      <c r="E11" s="248">
        <v>1</v>
      </c>
      <c r="F11" s="256">
        <v>5</v>
      </c>
      <c r="G11" s="320">
        <f t="shared" si="1"/>
        <v>91.24</v>
      </c>
      <c r="H11" s="321"/>
    </row>
    <row r="12" spans="1:8" ht="15">
      <c r="A12" s="735"/>
      <c r="B12" s="248" t="s">
        <v>675</v>
      </c>
      <c r="C12" s="112">
        <v>3</v>
      </c>
      <c r="D12" s="249">
        <f t="shared" si="0"/>
        <v>65.15</v>
      </c>
      <c r="E12" s="248">
        <v>1</v>
      </c>
      <c r="F12" s="256">
        <v>2.93</v>
      </c>
      <c r="G12" s="320">
        <f t="shared" si="1"/>
        <v>68.08000000000001</v>
      </c>
      <c r="H12" s="321"/>
    </row>
    <row r="13" spans="1:8" ht="15">
      <c r="A13" s="420" t="s">
        <v>614</v>
      </c>
      <c r="B13" s="248" t="s">
        <v>675</v>
      </c>
      <c r="C13" s="112">
        <v>6</v>
      </c>
      <c r="D13" s="249">
        <f t="shared" si="0"/>
        <v>65.15</v>
      </c>
      <c r="E13" s="248">
        <v>2</v>
      </c>
      <c r="F13" s="256">
        <v>2.93</v>
      </c>
      <c r="G13" s="320">
        <f t="shared" si="1"/>
        <v>68.08000000000001</v>
      </c>
      <c r="H13" s="321"/>
    </row>
    <row r="14" spans="1:8" ht="15">
      <c r="A14" s="735" t="s">
        <v>612</v>
      </c>
      <c r="B14" s="248" t="s">
        <v>671</v>
      </c>
      <c r="C14" s="112">
        <v>3</v>
      </c>
      <c r="D14" s="249">
        <f t="shared" si="0"/>
        <v>86.24</v>
      </c>
      <c r="E14" s="248">
        <v>1</v>
      </c>
      <c r="F14" s="256">
        <v>5</v>
      </c>
      <c r="G14" s="320">
        <f t="shared" si="1"/>
        <v>91.24</v>
      </c>
      <c r="H14" s="321"/>
    </row>
    <row r="15" spans="1:8" ht="15">
      <c r="A15" s="735"/>
      <c r="B15" s="248" t="s">
        <v>675</v>
      </c>
      <c r="C15" s="112">
        <v>3</v>
      </c>
      <c r="D15" s="249">
        <f t="shared" si="0"/>
        <v>65.15</v>
      </c>
      <c r="E15" s="248">
        <v>1</v>
      </c>
      <c r="F15" s="256">
        <v>2.93</v>
      </c>
      <c r="G15" s="320">
        <f t="shared" si="1"/>
        <v>68.08000000000001</v>
      </c>
      <c r="H15" s="321"/>
    </row>
    <row r="16" spans="1:8" ht="15">
      <c r="A16" s="735" t="s">
        <v>613</v>
      </c>
      <c r="B16" s="251" t="s">
        <v>670</v>
      </c>
      <c r="C16" s="112">
        <v>6</v>
      </c>
      <c r="D16" s="249">
        <f t="shared" si="0"/>
        <v>31</v>
      </c>
      <c r="E16" s="248">
        <v>2</v>
      </c>
      <c r="F16" s="256">
        <v>12.78</v>
      </c>
      <c r="G16" s="320">
        <f t="shared" si="1"/>
        <v>43.78</v>
      </c>
      <c r="H16" s="321"/>
    </row>
    <row r="17" spans="1:8" ht="15">
      <c r="A17" s="735"/>
      <c r="B17" s="251" t="s">
        <v>676</v>
      </c>
      <c r="C17" s="112">
        <v>6</v>
      </c>
      <c r="D17" s="249">
        <f t="shared" si="0"/>
        <v>39</v>
      </c>
      <c r="E17" s="248">
        <v>2</v>
      </c>
      <c r="F17" s="256">
        <v>5.75</v>
      </c>
      <c r="G17" s="320">
        <f t="shared" si="1"/>
        <v>44.75</v>
      </c>
      <c r="H17" s="321"/>
    </row>
    <row r="18" spans="1:11" ht="15">
      <c r="A18" s="746" t="s">
        <v>625</v>
      </c>
      <c r="B18" s="248" t="s">
        <v>671</v>
      </c>
      <c r="C18" s="112">
        <v>6</v>
      </c>
      <c r="D18" s="249">
        <f t="shared" si="0"/>
        <v>86.24</v>
      </c>
      <c r="E18" s="248">
        <v>2</v>
      </c>
      <c r="F18" s="256">
        <v>5</v>
      </c>
      <c r="G18" s="320">
        <f t="shared" si="1"/>
        <v>91.24</v>
      </c>
      <c r="H18" s="321"/>
      <c r="K18" s="129"/>
    </row>
    <row r="19" spans="1:8" ht="15">
      <c r="A19" s="747"/>
      <c r="B19" s="248" t="s">
        <v>675</v>
      </c>
      <c r="C19" s="112">
        <v>9</v>
      </c>
      <c r="D19" s="249">
        <f t="shared" si="0"/>
        <v>65.15</v>
      </c>
      <c r="E19" s="248">
        <v>3</v>
      </c>
      <c r="F19" s="256">
        <v>2.93</v>
      </c>
      <c r="G19" s="320">
        <f t="shared" si="1"/>
        <v>68.08000000000001</v>
      </c>
      <c r="H19" s="321"/>
    </row>
    <row r="20" spans="1:8" ht="15">
      <c r="A20" s="747"/>
      <c r="B20" s="248" t="s">
        <v>672</v>
      </c>
      <c r="C20" s="112">
        <v>3</v>
      </c>
      <c r="D20" s="249">
        <f t="shared" si="0"/>
        <v>45.72</v>
      </c>
      <c r="E20" s="248">
        <v>1</v>
      </c>
      <c r="F20" s="256">
        <v>3.5</v>
      </c>
      <c r="G20" s="320">
        <f t="shared" si="1"/>
        <v>49.22</v>
      </c>
      <c r="H20" s="321"/>
    </row>
    <row r="21" spans="1:8" ht="15">
      <c r="A21" s="748"/>
      <c r="B21" s="248" t="s">
        <v>676</v>
      </c>
      <c r="C21" s="112">
        <v>3</v>
      </c>
      <c r="D21" s="249">
        <f t="shared" si="0"/>
        <v>39</v>
      </c>
      <c r="E21" s="248">
        <v>1</v>
      </c>
      <c r="F21" s="256">
        <v>5.75</v>
      </c>
      <c r="G21" s="320">
        <f t="shared" si="1"/>
        <v>44.75</v>
      </c>
      <c r="H21" s="321"/>
    </row>
    <row r="22" spans="1:8" ht="15">
      <c r="A22" s="735" t="s">
        <v>606</v>
      </c>
      <c r="B22" s="248" t="s">
        <v>670</v>
      </c>
      <c r="C22" s="112">
        <v>3</v>
      </c>
      <c r="D22" s="249">
        <f t="shared" si="0"/>
        <v>31</v>
      </c>
      <c r="E22" s="248">
        <v>1</v>
      </c>
      <c r="F22" s="256">
        <v>12.78</v>
      </c>
      <c r="G22" s="320">
        <f t="shared" si="1"/>
        <v>43.78</v>
      </c>
      <c r="H22" s="321"/>
    </row>
    <row r="23" spans="1:8" ht="15">
      <c r="A23" s="735"/>
      <c r="B23" s="248" t="s">
        <v>671</v>
      </c>
      <c r="C23" s="112">
        <v>3</v>
      </c>
      <c r="D23" s="249">
        <f t="shared" si="0"/>
        <v>86.24</v>
      </c>
      <c r="E23" s="248">
        <v>1</v>
      </c>
      <c r="F23" s="256">
        <v>5</v>
      </c>
      <c r="G23" s="320">
        <f t="shared" si="1"/>
        <v>91.24</v>
      </c>
      <c r="H23" s="321"/>
    </row>
    <row r="24" spans="1:8" ht="15">
      <c r="A24" s="735"/>
      <c r="B24" s="248" t="s">
        <v>676</v>
      </c>
      <c r="C24" s="112">
        <v>3</v>
      </c>
      <c r="D24" s="249">
        <f t="shared" si="0"/>
        <v>39</v>
      </c>
      <c r="E24" s="248">
        <v>1</v>
      </c>
      <c r="F24" s="256">
        <v>5.75</v>
      </c>
      <c r="G24" s="320">
        <f t="shared" si="1"/>
        <v>44.75</v>
      </c>
      <c r="H24" s="321"/>
    </row>
    <row r="25" spans="1:8" ht="15">
      <c r="A25" s="735" t="s">
        <v>626</v>
      </c>
      <c r="B25" s="248" t="s">
        <v>671</v>
      </c>
      <c r="C25" s="112">
        <v>3</v>
      </c>
      <c r="D25" s="249">
        <f t="shared" si="0"/>
        <v>86.24</v>
      </c>
      <c r="E25" s="248">
        <v>1</v>
      </c>
      <c r="F25" s="256">
        <v>5</v>
      </c>
      <c r="G25" s="320">
        <f t="shared" si="1"/>
        <v>91.24</v>
      </c>
      <c r="H25" s="321"/>
    </row>
    <row r="26" spans="1:8" ht="15">
      <c r="A26" s="735"/>
      <c r="B26" s="248" t="s">
        <v>675</v>
      </c>
      <c r="C26" s="112">
        <v>12</v>
      </c>
      <c r="D26" s="249">
        <f t="shared" si="0"/>
        <v>65.15</v>
      </c>
      <c r="E26" s="248">
        <v>4</v>
      </c>
      <c r="F26" s="256">
        <v>2.93</v>
      </c>
      <c r="G26" s="320">
        <f t="shared" si="1"/>
        <v>68.08000000000001</v>
      </c>
      <c r="H26" s="321"/>
    </row>
    <row r="27" spans="1:8" ht="15">
      <c r="A27" s="735" t="s">
        <v>609</v>
      </c>
      <c r="B27" s="248" t="s">
        <v>670</v>
      </c>
      <c r="C27" s="112">
        <v>6</v>
      </c>
      <c r="D27" s="249">
        <f t="shared" si="0"/>
        <v>31</v>
      </c>
      <c r="E27" s="248">
        <v>2</v>
      </c>
      <c r="F27" s="256">
        <v>12.78</v>
      </c>
      <c r="G27" s="320">
        <f t="shared" si="1"/>
        <v>43.78</v>
      </c>
      <c r="H27" s="321"/>
    </row>
    <row r="28" spans="1:8" ht="15">
      <c r="A28" s="735"/>
      <c r="B28" s="248" t="s">
        <v>671</v>
      </c>
      <c r="C28" s="112">
        <v>9</v>
      </c>
      <c r="D28" s="249">
        <f t="shared" si="0"/>
        <v>86.24</v>
      </c>
      <c r="E28" s="248">
        <v>3</v>
      </c>
      <c r="F28" s="256">
        <v>5</v>
      </c>
      <c r="G28" s="320">
        <f t="shared" si="1"/>
        <v>91.24</v>
      </c>
      <c r="H28" s="321"/>
    </row>
    <row r="29" spans="1:8" ht="15">
      <c r="A29" s="735" t="s">
        <v>627</v>
      </c>
      <c r="B29" s="248" t="s">
        <v>671</v>
      </c>
      <c r="C29" s="112">
        <v>3</v>
      </c>
      <c r="D29" s="249">
        <f t="shared" si="0"/>
        <v>86.24</v>
      </c>
      <c r="E29" s="248">
        <v>1</v>
      </c>
      <c r="F29" s="256">
        <v>5</v>
      </c>
      <c r="G29" s="320">
        <f t="shared" si="1"/>
        <v>91.24</v>
      </c>
      <c r="H29" s="321"/>
    </row>
    <row r="30" spans="1:8" ht="15">
      <c r="A30" s="735"/>
      <c r="B30" s="248" t="s">
        <v>675</v>
      </c>
      <c r="C30" s="112">
        <v>9</v>
      </c>
      <c r="D30" s="249">
        <f t="shared" si="0"/>
        <v>65.15</v>
      </c>
      <c r="E30" s="248">
        <v>3</v>
      </c>
      <c r="F30" s="256">
        <v>2.93</v>
      </c>
      <c r="G30" s="320">
        <f t="shared" si="1"/>
        <v>68.08000000000001</v>
      </c>
      <c r="H30" s="321"/>
    </row>
    <row r="31" spans="1:8" ht="15">
      <c r="A31" s="749" t="s">
        <v>628</v>
      </c>
      <c r="B31" s="248" t="s">
        <v>670</v>
      </c>
      <c r="C31" s="112">
        <v>9</v>
      </c>
      <c r="D31" s="249">
        <f t="shared" si="0"/>
        <v>31</v>
      </c>
      <c r="E31" s="248">
        <v>3</v>
      </c>
      <c r="F31" s="256">
        <v>12.78</v>
      </c>
      <c r="G31" s="320">
        <f t="shared" si="1"/>
        <v>43.78</v>
      </c>
      <c r="H31" s="321"/>
    </row>
    <row r="32" spans="1:8" ht="15">
      <c r="A32" s="749"/>
      <c r="B32" s="248" t="s">
        <v>671</v>
      </c>
      <c r="C32" s="112">
        <v>3</v>
      </c>
      <c r="D32" s="249">
        <f t="shared" si="0"/>
        <v>86.24</v>
      </c>
      <c r="E32" s="248">
        <v>1</v>
      </c>
      <c r="F32" s="256">
        <v>5</v>
      </c>
      <c r="G32" s="320">
        <f t="shared" si="1"/>
        <v>91.24</v>
      </c>
      <c r="H32" s="321"/>
    </row>
    <row r="33" spans="1:8" ht="15">
      <c r="A33" s="749"/>
      <c r="B33" s="248" t="s">
        <v>675</v>
      </c>
      <c r="C33" s="112">
        <v>12</v>
      </c>
      <c r="D33" s="249">
        <f t="shared" si="0"/>
        <v>65.15</v>
      </c>
      <c r="E33" s="248">
        <v>4</v>
      </c>
      <c r="F33" s="256">
        <v>2.93</v>
      </c>
      <c r="G33" s="320">
        <f t="shared" si="1"/>
        <v>68.08000000000001</v>
      </c>
      <c r="H33" s="321"/>
    </row>
    <row r="34" spans="1:8" ht="15">
      <c r="A34" s="735" t="s">
        <v>610</v>
      </c>
      <c r="B34" s="248" t="s">
        <v>670</v>
      </c>
      <c r="C34" s="112">
        <v>6</v>
      </c>
      <c r="D34" s="249">
        <f t="shared" si="0"/>
        <v>31</v>
      </c>
      <c r="E34" s="248">
        <v>2</v>
      </c>
      <c r="F34" s="256">
        <v>12.78</v>
      </c>
      <c r="G34" s="320">
        <f t="shared" si="1"/>
        <v>43.78</v>
      </c>
      <c r="H34" s="321"/>
    </row>
    <row r="35" spans="1:8" ht="15">
      <c r="A35" s="735"/>
      <c r="B35" s="248" t="s">
        <v>671</v>
      </c>
      <c r="C35" s="112">
        <v>6</v>
      </c>
      <c r="D35" s="249">
        <f t="shared" si="0"/>
        <v>86.24</v>
      </c>
      <c r="E35" s="248">
        <v>2</v>
      </c>
      <c r="F35" s="256">
        <v>5</v>
      </c>
      <c r="G35" s="320">
        <f t="shared" si="1"/>
        <v>91.24</v>
      </c>
      <c r="H35" s="321"/>
    </row>
    <row r="36" spans="1:8" ht="15">
      <c r="A36" s="735"/>
      <c r="B36" s="248" t="s">
        <v>675</v>
      </c>
      <c r="C36" s="112">
        <v>3</v>
      </c>
      <c r="D36" s="249">
        <f t="shared" si="0"/>
        <v>65.15</v>
      </c>
      <c r="E36" s="248">
        <v>1</v>
      </c>
      <c r="F36" s="256">
        <v>2.93</v>
      </c>
      <c r="G36" s="320">
        <f t="shared" si="1"/>
        <v>68.08000000000001</v>
      </c>
      <c r="H36" s="321"/>
    </row>
    <row r="37" spans="1:8" ht="15">
      <c r="A37" s="735"/>
      <c r="B37" s="248" t="s">
        <v>676</v>
      </c>
      <c r="C37" s="112">
        <v>9</v>
      </c>
      <c r="D37" s="249">
        <f t="shared" si="0"/>
        <v>39</v>
      </c>
      <c r="E37" s="248">
        <v>3</v>
      </c>
      <c r="F37" s="256">
        <v>5.75</v>
      </c>
      <c r="G37" s="320">
        <f t="shared" si="1"/>
        <v>44.75</v>
      </c>
      <c r="H37" s="321"/>
    </row>
    <row r="38" spans="1:8" ht="15">
      <c r="A38" s="735" t="s">
        <v>611</v>
      </c>
      <c r="B38" s="248" t="s">
        <v>670</v>
      </c>
      <c r="C38" s="112">
        <v>6</v>
      </c>
      <c r="D38" s="249">
        <f t="shared" si="0"/>
        <v>31</v>
      </c>
      <c r="E38" s="248">
        <v>2</v>
      </c>
      <c r="F38" s="256">
        <v>12.78</v>
      </c>
      <c r="G38" s="320">
        <f t="shared" si="1"/>
        <v>43.78</v>
      </c>
      <c r="H38" s="321"/>
    </row>
    <row r="39" spans="1:10" ht="15">
      <c r="A39" s="735"/>
      <c r="B39" s="248" t="s">
        <v>671</v>
      </c>
      <c r="C39" s="112">
        <v>12</v>
      </c>
      <c r="D39" s="249">
        <f t="shared" si="0"/>
        <v>86.24</v>
      </c>
      <c r="E39" s="248">
        <v>4</v>
      </c>
      <c r="F39" s="256">
        <v>5</v>
      </c>
      <c r="G39" s="320">
        <f t="shared" si="1"/>
        <v>91.24</v>
      </c>
      <c r="H39" s="321"/>
      <c r="J39" s="129"/>
    </row>
    <row r="40" spans="1:8" ht="15.75" thickBot="1">
      <c r="A40" s="736" t="s">
        <v>629</v>
      </c>
      <c r="B40" s="737"/>
      <c r="C40" s="737"/>
      <c r="D40" s="737"/>
      <c r="E40" s="737"/>
      <c r="F40" s="737"/>
      <c r="G40" s="328">
        <f>SUM(G3:G39)</f>
        <v>2528.4999999999995</v>
      </c>
      <c r="H40" s="321"/>
    </row>
    <row r="41" ht="15.75" thickBot="1"/>
    <row r="42" spans="1:7" ht="15">
      <c r="A42" s="738" t="s">
        <v>677</v>
      </c>
      <c r="B42" s="739"/>
      <c r="C42" s="739"/>
      <c r="D42" s="739"/>
      <c r="E42" s="739"/>
      <c r="F42" s="740"/>
      <c r="G42" s="330"/>
    </row>
    <row r="43" spans="1:6" ht="25.5">
      <c r="A43" s="331" t="s">
        <v>159</v>
      </c>
      <c r="B43" s="332" t="s">
        <v>263</v>
      </c>
      <c r="C43" s="253" t="s">
        <v>678</v>
      </c>
      <c r="D43" s="252" t="s">
        <v>667</v>
      </c>
      <c r="E43" s="153" t="s">
        <v>455</v>
      </c>
      <c r="F43" s="333" t="s">
        <v>679</v>
      </c>
    </row>
    <row r="44" spans="1:8" ht="15">
      <c r="A44" s="334" t="s">
        <v>680</v>
      </c>
      <c r="B44" s="180">
        <v>13</v>
      </c>
      <c r="C44" s="251">
        <v>30</v>
      </c>
      <c r="D44" s="254">
        <f>6*3</f>
        <v>18</v>
      </c>
      <c r="E44" s="256">
        <v>15</v>
      </c>
      <c r="F44" s="320">
        <f>ROUND(E44*D44,2)</f>
        <v>270</v>
      </c>
      <c r="H44" s="335"/>
    </row>
    <row r="45" spans="1:8" ht="15">
      <c r="A45" s="336"/>
      <c r="B45" s="180">
        <v>14</v>
      </c>
      <c r="C45" s="251">
        <v>15</v>
      </c>
      <c r="D45" s="254">
        <f>14*3</f>
        <v>42</v>
      </c>
      <c r="E45" s="256">
        <v>15</v>
      </c>
      <c r="F45" s="320">
        <f>ROUND(E45*D45,2)</f>
        <v>630</v>
      </c>
      <c r="H45" s="335"/>
    </row>
    <row r="46" spans="1:8" ht="15">
      <c r="A46" s="334" t="s">
        <v>681</v>
      </c>
      <c r="B46" s="180">
        <v>15</v>
      </c>
      <c r="C46" s="251">
        <v>30</v>
      </c>
      <c r="D46" s="254">
        <f>1*3</f>
        <v>3</v>
      </c>
      <c r="E46" s="256">
        <v>15</v>
      </c>
      <c r="F46" s="320">
        <f>ROUND(E46*D46,2)</f>
        <v>45</v>
      </c>
      <c r="H46" s="335"/>
    </row>
    <row r="47" spans="1:6" ht="15">
      <c r="A47" s="336"/>
      <c r="B47" s="180">
        <v>16</v>
      </c>
      <c r="C47" s="248">
        <v>20</v>
      </c>
      <c r="D47" s="254">
        <f>3*3</f>
        <v>9</v>
      </c>
      <c r="E47" s="256">
        <v>15</v>
      </c>
      <c r="F47" s="320">
        <f>ROUND(E47*D47,2)</f>
        <v>135</v>
      </c>
    </row>
    <row r="48" spans="1:6" ht="15.75" thickBot="1">
      <c r="A48" s="741" t="s">
        <v>629</v>
      </c>
      <c r="B48" s="742"/>
      <c r="C48" s="742"/>
      <c r="D48" s="742"/>
      <c r="E48" s="742"/>
      <c r="F48" s="337">
        <f>SUM(F44:F47)</f>
        <v>1080</v>
      </c>
    </row>
    <row r="50" spans="1:6" ht="19.5" customHeight="1">
      <c r="A50" s="743" t="s">
        <v>682</v>
      </c>
      <c r="B50" s="744"/>
      <c r="C50" s="744"/>
      <c r="D50" s="744"/>
      <c r="E50" s="745"/>
      <c r="F50" s="255">
        <f>F48+G40</f>
        <v>3608.4999999999995</v>
      </c>
    </row>
    <row r="52" spans="1:8" ht="15">
      <c r="A52" s="687" t="s">
        <v>641</v>
      </c>
      <c r="B52" s="687"/>
      <c r="C52" s="687"/>
      <c r="D52" s="687"/>
      <c r="E52" s="687"/>
      <c r="F52" s="687"/>
      <c r="G52" s="687"/>
      <c r="H52" s="338"/>
    </row>
  </sheetData>
  <sheetProtection password="CC3A" sheet="1"/>
  <autoFilter ref="A2:G40"/>
  <mergeCells count="19">
    <mergeCell ref="A1:G1"/>
    <mergeCell ref="A3:A6"/>
    <mergeCell ref="A7:A10"/>
    <mergeCell ref="A11:A12"/>
    <mergeCell ref="A14:A15"/>
    <mergeCell ref="A16:A17"/>
    <mergeCell ref="A18:A21"/>
    <mergeCell ref="A22:A24"/>
    <mergeCell ref="A25:A26"/>
    <mergeCell ref="A27:A28"/>
    <mergeCell ref="A29:A30"/>
    <mergeCell ref="A31:A33"/>
    <mergeCell ref="A52:G52"/>
    <mergeCell ref="A34:A37"/>
    <mergeCell ref="A38:A39"/>
    <mergeCell ref="A40:F40"/>
    <mergeCell ref="A42:F42"/>
    <mergeCell ref="A48:E48"/>
    <mergeCell ref="A50:E50"/>
  </mergeCells>
  <printOptions/>
  <pageMargins left="0.511811024" right="0.511811024" top="0.787401575" bottom="0.787401575" header="0.31496062" footer="0.31496062"/>
  <pageSetup fitToHeight="0" fitToWidth="1" horizontalDpi="300" verticalDpi="300" orientation="portrait" paperSize="9" scale="52" r:id="rId1"/>
</worksheet>
</file>

<file path=xl/worksheets/sheet17.xml><?xml version="1.0" encoding="utf-8"?>
<worksheet xmlns="http://schemas.openxmlformats.org/spreadsheetml/2006/main" xmlns:r="http://schemas.openxmlformats.org/officeDocument/2006/relationships">
  <sheetPr>
    <pageSetUpPr fitToPage="1"/>
  </sheetPr>
  <dimension ref="A1:C14"/>
  <sheetViews>
    <sheetView showGridLines="0" zoomScaleSheetLayoutView="110" zoomScalePageLayoutView="0" workbookViewId="0" topLeftCell="A1">
      <selection activeCell="C9" sqref="C9"/>
    </sheetView>
  </sheetViews>
  <sheetFormatPr defaultColWidth="9.140625" defaultRowHeight="15"/>
  <cols>
    <col min="1" max="1" width="9.140625" style="110" customWidth="1"/>
    <col min="2" max="2" width="48.8515625" style="110" customWidth="1"/>
    <col min="3" max="3" width="18.57421875" style="110" customWidth="1"/>
    <col min="4" max="16384" width="9.140625" style="110" customWidth="1"/>
  </cols>
  <sheetData>
    <row r="1" spans="1:3" ht="15">
      <c r="A1" s="753" t="s">
        <v>640</v>
      </c>
      <c r="B1" s="753"/>
      <c r="C1" s="753"/>
    </row>
    <row r="2" spans="1:3" ht="15">
      <c r="A2" s="180" t="s">
        <v>1</v>
      </c>
      <c r="B2" s="112" t="s">
        <v>633</v>
      </c>
      <c r="C2" s="257">
        <v>0.04</v>
      </c>
    </row>
    <row r="3" spans="1:3" ht="15">
      <c r="A3" s="180" t="s">
        <v>3</v>
      </c>
      <c r="B3" s="112" t="s">
        <v>634</v>
      </c>
      <c r="C3" s="257">
        <v>0.008</v>
      </c>
    </row>
    <row r="4" spans="1:3" ht="15">
      <c r="A4" s="180" t="s">
        <v>5</v>
      </c>
      <c r="B4" s="112" t="s">
        <v>635</v>
      </c>
      <c r="C4" s="257">
        <v>0.0188</v>
      </c>
    </row>
    <row r="5" spans="1:3" ht="15">
      <c r="A5" s="180" t="s">
        <v>6</v>
      </c>
      <c r="B5" s="112" t="s">
        <v>636</v>
      </c>
      <c r="C5" s="257">
        <v>0.0097</v>
      </c>
    </row>
    <row r="6" spans="1:3" ht="15">
      <c r="A6" s="180" t="s">
        <v>8</v>
      </c>
      <c r="B6" s="112" t="s">
        <v>637</v>
      </c>
      <c r="C6" s="257">
        <v>0.10555</v>
      </c>
    </row>
    <row r="7" spans="1:3" ht="15">
      <c r="A7" s="180" t="s">
        <v>10</v>
      </c>
      <c r="B7" s="112" t="s">
        <v>638</v>
      </c>
      <c r="C7" s="257">
        <v>0.02</v>
      </c>
    </row>
    <row r="8" spans="1:3" ht="15">
      <c r="A8" s="180" t="s">
        <v>11</v>
      </c>
      <c r="B8" s="112" t="s">
        <v>60</v>
      </c>
      <c r="C8" s="257">
        <v>0.0065</v>
      </c>
    </row>
    <row r="9" spans="1:3" ht="15">
      <c r="A9" s="180" t="s">
        <v>12</v>
      </c>
      <c r="B9" s="112" t="s">
        <v>61</v>
      </c>
      <c r="C9" s="257">
        <v>0.03</v>
      </c>
    </row>
    <row r="10" spans="1:3" ht="15">
      <c r="A10" s="754" t="s">
        <v>639</v>
      </c>
      <c r="B10" s="754"/>
      <c r="C10" s="181">
        <f>((1+C2+C3+C5)*(1+C4)*(1+C6)/(1-(C7+C8+C9))-1)</f>
        <v>0.26266436822257533</v>
      </c>
    </row>
    <row r="11" spans="1:3" ht="15">
      <c r="A11" s="182"/>
      <c r="B11" s="182"/>
      <c r="C11" s="183"/>
    </row>
    <row r="12" spans="1:3" ht="15">
      <c r="A12" s="192" t="s">
        <v>644</v>
      </c>
      <c r="B12" s="182"/>
      <c r="C12" s="183"/>
    </row>
    <row r="13" spans="1:3" ht="15">
      <c r="A13" s="182"/>
      <c r="B13" s="182"/>
      <c r="C13" s="183"/>
    </row>
    <row r="14" spans="1:3" ht="15">
      <c r="A14" s="687" t="s">
        <v>641</v>
      </c>
      <c r="B14" s="687"/>
      <c r="C14" s="687"/>
    </row>
  </sheetData>
  <sheetProtection password="CC3A" sheet="1"/>
  <mergeCells count="3">
    <mergeCell ref="A1:C1"/>
    <mergeCell ref="A10:B10"/>
    <mergeCell ref="A14:C14"/>
  </mergeCells>
  <printOptions horizontalCentered="1"/>
  <pageMargins left="0.5118110236220472" right="0.5118110236220472" top="0.7874015748031497" bottom="0.7874015748031497" header="0.31496062992125984" footer="0.31496062992125984"/>
  <pageSetup fitToHeight="0"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C14"/>
  <sheetViews>
    <sheetView showGridLines="0" view="pageBreakPreview" zoomScale="110" zoomScaleSheetLayoutView="110" zoomScalePageLayoutView="0" workbookViewId="0" topLeftCell="A1">
      <selection activeCell="C7" sqref="C7"/>
    </sheetView>
  </sheetViews>
  <sheetFormatPr defaultColWidth="9.140625" defaultRowHeight="15"/>
  <cols>
    <col min="1" max="1" width="9.140625" style="110" customWidth="1"/>
    <col min="2" max="2" width="41.57421875" style="110" customWidth="1"/>
    <col min="3" max="3" width="24.00390625" style="110" customWidth="1"/>
    <col min="4" max="16384" width="9.140625" style="110" customWidth="1"/>
  </cols>
  <sheetData>
    <row r="1" spans="1:3" ht="15">
      <c r="A1" s="753" t="s">
        <v>646</v>
      </c>
      <c r="B1" s="753"/>
      <c r="C1" s="753"/>
    </row>
    <row r="2" spans="1:3" ht="15">
      <c r="A2" s="180" t="s">
        <v>1</v>
      </c>
      <c r="B2" s="112" t="s">
        <v>633</v>
      </c>
      <c r="C2" s="257">
        <v>0.015</v>
      </c>
    </row>
    <row r="3" spans="1:3" ht="15">
      <c r="A3" s="180" t="s">
        <v>3</v>
      </c>
      <c r="B3" s="112" t="s">
        <v>634</v>
      </c>
      <c r="C3" s="257">
        <v>0.003</v>
      </c>
    </row>
    <row r="4" spans="1:3" ht="15">
      <c r="A4" s="180" t="s">
        <v>5</v>
      </c>
      <c r="B4" s="112" t="s">
        <v>635</v>
      </c>
      <c r="C4" s="257">
        <v>0.0085</v>
      </c>
    </row>
    <row r="5" spans="1:3" ht="15">
      <c r="A5" s="180" t="s">
        <v>6</v>
      </c>
      <c r="B5" s="112" t="s">
        <v>636</v>
      </c>
      <c r="C5" s="257">
        <v>0.0056</v>
      </c>
    </row>
    <row r="6" spans="1:3" ht="15">
      <c r="A6" s="180" t="s">
        <v>8</v>
      </c>
      <c r="B6" s="112" t="s">
        <v>637</v>
      </c>
      <c r="C6" s="257">
        <v>0.035</v>
      </c>
    </row>
    <row r="7" spans="1:3" ht="15">
      <c r="A7" s="180" t="s">
        <v>10</v>
      </c>
      <c r="B7" s="112" t="s">
        <v>638</v>
      </c>
      <c r="C7" s="257">
        <v>0</v>
      </c>
    </row>
    <row r="8" spans="1:3" ht="15">
      <c r="A8" s="180" t="s">
        <v>11</v>
      </c>
      <c r="B8" s="112" t="s">
        <v>60</v>
      </c>
      <c r="C8" s="257">
        <v>0.0065</v>
      </c>
    </row>
    <row r="9" spans="1:3" ht="15">
      <c r="A9" s="180" t="s">
        <v>12</v>
      </c>
      <c r="B9" s="112" t="s">
        <v>61</v>
      </c>
      <c r="C9" s="257">
        <v>0.03</v>
      </c>
    </row>
    <row r="10" spans="1:3" ht="15">
      <c r="A10" s="754" t="s">
        <v>639</v>
      </c>
      <c r="B10" s="754"/>
      <c r="C10" s="181">
        <f>((1+C2+C3+C5)*(1+C4)*(1+C6)/(1-(C7+C8+C9))-1)</f>
        <v>0.10890619719771633</v>
      </c>
    </row>
    <row r="11" spans="1:3" ht="15">
      <c r="A11" s="182"/>
      <c r="B11" s="182"/>
      <c r="C11" s="183"/>
    </row>
    <row r="12" spans="1:3" ht="15">
      <c r="A12" s="192" t="s">
        <v>645</v>
      </c>
      <c r="B12" s="182"/>
      <c r="C12" s="183"/>
    </row>
    <row r="13" spans="1:3" ht="15">
      <c r="A13" s="182"/>
      <c r="B13" s="182"/>
      <c r="C13" s="183"/>
    </row>
    <row r="14" spans="1:3" ht="15">
      <c r="A14" s="687" t="s">
        <v>641</v>
      </c>
      <c r="B14" s="687"/>
      <c r="C14" s="687"/>
    </row>
  </sheetData>
  <sheetProtection password="CC3A" sheet="1"/>
  <mergeCells count="3">
    <mergeCell ref="A1:C1"/>
    <mergeCell ref="A10:B10"/>
    <mergeCell ref="A14:C14"/>
  </mergeCells>
  <printOptions horizontalCentered="1"/>
  <pageMargins left="0.5118110236220472" right="0.5118110236220472" top="0.7874015748031497" bottom="0.7874015748031497" header="0.31496062992125984" footer="0.31496062992125984"/>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10"/>
  <sheetViews>
    <sheetView showGridLines="0" tabSelected="1" zoomScaleSheetLayoutView="100" zoomScalePageLayoutView="0" workbookViewId="0" topLeftCell="A1">
      <selection activeCell="D17" sqref="D17"/>
    </sheetView>
  </sheetViews>
  <sheetFormatPr defaultColWidth="9.140625" defaultRowHeight="15"/>
  <cols>
    <col min="1" max="5" width="15.7109375" style="110" customWidth="1"/>
    <col min="6" max="16384" width="9.140625" style="110" customWidth="1"/>
  </cols>
  <sheetData>
    <row r="1" spans="1:5" ht="15.75">
      <c r="A1" s="755" t="s">
        <v>1147</v>
      </c>
      <c r="B1" s="755"/>
      <c r="C1" s="755"/>
      <c r="D1" s="755"/>
      <c r="E1" s="755"/>
    </row>
    <row r="3" spans="1:5" ht="15">
      <c r="A3" s="793">
        <v>0</v>
      </c>
      <c r="B3" s="793"/>
      <c r="C3" s="793"/>
      <c r="D3" s="793"/>
      <c r="E3" s="793"/>
    </row>
    <row r="6" spans="1:5" ht="15.75">
      <c r="A6" s="755" t="s">
        <v>1148</v>
      </c>
      <c r="B6" s="755"/>
      <c r="C6" s="755"/>
      <c r="D6" s="755"/>
      <c r="E6" s="755"/>
    </row>
    <row r="8" spans="1:5" ht="15">
      <c r="A8" s="793">
        <v>0</v>
      </c>
      <c r="B8" s="793"/>
      <c r="C8" s="793"/>
      <c r="D8" s="793"/>
      <c r="E8" s="793"/>
    </row>
    <row r="10" spans="1:5" ht="15">
      <c r="A10" s="701" t="s">
        <v>642</v>
      </c>
      <c r="B10" s="702"/>
      <c r="C10" s="702"/>
      <c r="D10" s="702"/>
      <c r="E10" s="703"/>
    </row>
  </sheetData>
  <sheetProtection password="CC3A" sheet="1"/>
  <mergeCells count="5">
    <mergeCell ref="A8:E8"/>
    <mergeCell ref="A10:E10"/>
    <mergeCell ref="A1:E1"/>
    <mergeCell ref="A3:E3"/>
    <mergeCell ref="A6:E6"/>
  </mergeCells>
  <printOptions horizontalCentered="1"/>
  <pageMargins left="0.5118110236220472" right="0.5118110236220472" top="0.787401574803149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5"/>
  <sheetViews>
    <sheetView showGridLines="0" view="pageBreakPreview" zoomScaleSheetLayoutView="100" zoomScalePageLayoutView="0" workbookViewId="0" topLeftCell="A1">
      <selection activeCell="E4" sqref="E4"/>
    </sheetView>
  </sheetViews>
  <sheetFormatPr defaultColWidth="8.7109375" defaultRowHeight="15"/>
  <cols>
    <col min="1" max="1" width="8.7109375" style="110" customWidth="1"/>
    <col min="2" max="2" width="28.421875" style="110" customWidth="1"/>
    <col min="3" max="3" width="15.00390625" style="110" customWidth="1"/>
    <col min="4" max="4" width="16.00390625" style="110" customWidth="1"/>
    <col min="5" max="5" width="18.57421875" style="110" customWidth="1"/>
    <col min="6" max="16384" width="8.7109375" style="110" customWidth="1"/>
  </cols>
  <sheetData>
    <row r="1" spans="1:5" ht="15.75">
      <c r="A1" s="450" t="s">
        <v>618</v>
      </c>
      <c r="B1" s="450"/>
      <c r="C1" s="450"/>
      <c r="D1" s="450"/>
      <c r="E1" s="450"/>
    </row>
    <row r="2" spans="1:5" ht="60">
      <c r="A2" s="111" t="s">
        <v>587</v>
      </c>
      <c r="B2" s="111" t="s">
        <v>588</v>
      </c>
      <c r="C2" s="111" t="s">
        <v>589</v>
      </c>
      <c r="D2" s="111" t="s">
        <v>590</v>
      </c>
      <c r="E2" s="111" t="s">
        <v>591</v>
      </c>
    </row>
    <row r="3" spans="1:5" ht="15">
      <c r="A3" s="112">
        <v>1</v>
      </c>
      <c r="B3" s="112" t="s">
        <v>592</v>
      </c>
      <c r="C3" s="113">
        <f>'Item 1.1'!K169</f>
        <v>9579.07</v>
      </c>
      <c r="D3" s="112">
        <v>1</v>
      </c>
      <c r="E3" s="114">
        <f>ROUND(C3*D3,2)</f>
        <v>9579.07</v>
      </c>
    </row>
    <row r="4" spans="1:5" ht="15">
      <c r="A4" s="112">
        <v>2</v>
      </c>
      <c r="B4" s="112" t="s">
        <v>593</v>
      </c>
      <c r="C4" s="113">
        <f>'Item 1.2'!K169</f>
        <v>7991.01</v>
      </c>
      <c r="D4" s="112">
        <v>2</v>
      </c>
      <c r="E4" s="114">
        <f>ROUND(C4*D4,2)</f>
        <v>15982.02</v>
      </c>
    </row>
    <row r="5" spans="1:5" ht="15">
      <c r="A5" s="112">
        <v>3</v>
      </c>
      <c r="B5" s="112" t="s">
        <v>1133</v>
      </c>
      <c r="C5" s="357">
        <f>'Item 1.3'!K174</f>
        <v>13745.34</v>
      </c>
      <c r="D5" s="112">
        <v>1</v>
      </c>
      <c r="E5" s="114">
        <f>ROUND(C5*D5,2)</f>
        <v>13745.34</v>
      </c>
    </row>
  </sheetData>
  <sheetProtection password="CC3A" sheet="1" formatCells="0"/>
  <mergeCells count="1">
    <mergeCell ref="A1:E1"/>
  </mergeCells>
  <printOptions/>
  <pageMargins left="0.511811024" right="0.511811024" top="0.787401575" bottom="0.787401575" header="0.31496062" footer="0.3149606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15"/>
  <sheetViews>
    <sheetView zoomScalePageLayoutView="0" workbookViewId="0" topLeftCell="A1">
      <selection activeCell="K17" sqref="K17"/>
    </sheetView>
  </sheetViews>
  <sheetFormatPr defaultColWidth="9.140625" defaultRowHeight="15"/>
  <cols>
    <col min="1" max="1" width="80.8515625" style="0" customWidth="1"/>
    <col min="2" max="2" width="11.421875" style="0" bestFit="1" customWidth="1"/>
    <col min="3" max="3" width="13.421875" style="0" customWidth="1"/>
  </cols>
  <sheetData>
    <row r="1" spans="1:3" ht="21">
      <c r="A1" s="756" t="s">
        <v>200</v>
      </c>
      <c r="B1" s="756"/>
      <c r="C1" s="756"/>
    </row>
    <row r="2" spans="1:3" ht="45">
      <c r="A2" s="49" t="s">
        <v>208</v>
      </c>
      <c r="B2" s="50" t="s">
        <v>176</v>
      </c>
      <c r="C2" s="59" t="s">
        <v>185</v>
      </c>
    </row>
    <row r="3" spans="1:3" ht="15">
      <c r="A3" s="758" t="s">
        <v>177</v>
      </c>
      <c r="B3" s="758"/>
      <c r="C3" s="758"/>
    </row>
    <row r="4" spans="1:6" ht="15">
      <c r="A4" s="51" t="s">
        <v>212</v>
      </c>
      <c r="B4" s="57">
        <v>225.61</v>
      </c>
      <c r="C4" s="60">
        <v>320</v>
      </c>
      <c r="E4" s="108">
        <f>B4/C4</f>
        <v>0.70503125</v>
      </c>
      <c r="F4" s="109"/>
    </row>
    <row r="5" spans="1:6" ht="15">
      <c r="A5" s="51" t="s">
        <v>178</v>
      </c>
      <c r="B5" s="57">
        <v>16.92</v>
      </c>
      <c r="C5" s="60">
        <v>90</v>
      </c>
      <c r="E5" s="108" t="e">
        <f>#N/A</f>
        <v>#N/A</v>
      </c>
      <c r="F5" s="109"/>
    </row>
    <row r="6" spans="1:6" ht="15">
      <c r="A6" s="759"/>
      <c r="B6" s="759"/>
      <c r="C6" s="759"/>
      <c r="E6" s="108"/>
      <c r="F6" s="109"/>
    </row>
    <row r="7" spans="1:6" ht="15">
      <c r="A7" s="758" t="s">
        <v>179</v>
      </c>
      <c r="B7" s="758"/>
      <c r="C7" s="758"/>
      <c r="E7" s="108"/>
      <c r="F7" s="109"/>
    </row>
    <row r="8" spans="1:6" ht="15">
      <c r="A8" s="51" t="s">
        <v>180</v>
      </c>
      <c r="B8" s="57">
        <v>100.47</v>
      </c>
      <c r="C8" s="60">
        <v>2500</v>
      </c>
      <c r="E8" s="108" t="e">
        <f>#N/A</f>
        <v>#N/A</v>
      </c>
      <c r="F8" s="109"/>
    </row>
    <row r="9" spans="1:6" ht="15">
      <c r="A9" s="51" t="s">
        <v>181</v>
      </c>
      <c r="B9" s="57">
        <v>49.35</v>
      </c>
      <c r="C9" s="60">
        <v>6000</v>
      </c>
      <c r="E9" s="108" t="e">
        <f>#N/A</f>
        <v>#N/A</v>
      </c>
      <c r="F9" s="109"/>
    </row>
    <row r="10" spans="1:6" ht="15">
      <c r="A10" s="51" t="s">
        <v>182</v>
      </c>
      <c r="B10" s="57">
        <v>40.69</v>
      </c>
      <c r="C10" s="60">
        <v>2500</v>
      </c>
      <c r="E10" s="108" t="e">
        <f>#N/A</f>
        <v>#N/A</v>
      </c>
      <c r="F10" s="109"/>
    </row>
    <row r="11" spans="1:6" ht="15">
      <c r="A11" s="51"/>
      <c r="B11" s="57"/>
      <c r="C11" s="60"/>
      <c r="E11" s="108"/>
      <c r="F11" s="109"/>
    </row>
    <row r="12" spans="1:6" ht="15">
      <c r="A12" s="758" t="s">
        <v>224</v>
      </c>
      <c r="B12" s="758"/>
      <c r="C12" s="758"/>
      <c r="E12" s="108"/>
      <c r="F12" s="109"/>
    </row>
    <row r="13" spans="1:6" ht="15">
      <c r="A13" s="51" t="s">
        <v>225</v>
      </c>
      <c r="B13" s="57">
        <v>83.03</v>
      </c>
      <c r="C13" s="60">
        <v>380</v>
      </c>
      <c r="E13" s="108" t="e">
        <f>#N/A</f>
        <v>#N/A</v>
      </c>
      <c r="F13" s="109"/>
    </row>
    <row r="14" spans="1:6" ht="15">
      <c r="A14" s="757"/>
      <c r="B14" s="757"/>
      <c r="C14" s="757"/>
      <c r="E14" s="108"/>
      <c r="F14" s="109"/>
    </row>
    <row r="15" ht="15">
      <c r="E15" s="108" t="e">
        <f>SUM(E4:E13)</f>
        <v>#N/A</v>
      </c>
    </row>
  </sheetData>
  <sheetProtection/>
  <mergeCells count="6">
    <mergeCell ref="A1:C1"/>
    <mergeCell ref="A14:C14"/>
    <mergeCell ref="A3:C3"/>
    <mergeCell ref="A7:C7"/>
    <mergeCell ref="A6:C6"/>
    <mergeCell ref="A12:C12"/>
  </mergeCells>
  <printOptions/>
  <pageMargins left="0.511811024" right="0.511811024" top="0.787401575" bottom="0.787401575" header="0.31496062" footer="0.31496062"/>
  <pageSetup fitToHeight="1" fitToWidth="1" horizontalDpi="600" verticalDpi="600" orientation="portrait" paperSize="9" scale="74" r:id="rId1"/>
</worksheet>
</file>

<file path=xl/worksheets/sheet21.xml><?xml version="1.0" encoding="utf-8"?>
<worksheet xmlns="http://schemas.openxmlformats.org/spreadsheetml/2006/main" xmlns:r="http://schemas.openxmlformats.org/officeDocument/2006/relationships">
  <sheetPr>
    <pageSetUpPr fitToPage="1"/>
  </sheetPr>
  <dimension ref="A1:H53"/>
  <sheetViews>
    <sheetView zoomScalePageLayoutView="0" workbookViewId="0" topLeftCell="A1">
      <selection activeCell="K17" sqref="K17"/>
    </sheetView>
  </sheetViews>
  <sheetFormatPr defaultColWidth="9.140625" defaultRowHeight="15"/>
  <cols>
    <col min="1" max="1" width="15.7109375" style="0" bestFit="1" customWidth="1"/>
    <col min="2" max="2" width="24.28125" style="0" customWidth="1"/>
    <col min="3" max="3" width="15.7109375" style="0" customWidth="1"/>
    <col min="4" max="4" width="16.00390625" style="0" customWidth="1"/>
    <col min="5" max="5" width="18.140625" style="0" customWidth="1"/>
    <col min="6" max="6" width="11.7109375" style="0" customWidth="1"/>
    <col min="7" max="7" width="14.28125" style="0" customWidth="1"/>
    <col min="8" max="8" width="13.7109375" style="0" customWidth="1"/>
    <col min="11" max="11" width="10.140625" style="0" bestFit="1" customWidth="1"/>
  </cols>
  <sheetData>
    <row r="1" spans="1:5" ht="15">
      <c r="A1" s="769" t="s">
        <v>171</v>
      </c>
      <c r="B1" s="769"/>
      <c r="C1" s="769"/>
      <c r="D1" s="769"/>
      <c r="E1" s="769"/>
    </row>
    <row r="3" spans="1:5" ht="15">
      <c r="A3" s="763" t="s">
        <v>172</v>
      </c>
      <c r="B3" s="763"/>
      <c r="C3" s="763"/>
      <c r="D3" s="763"/>
      <c r="E3" s="763"/>
    </row>
    <row r="4" spans="1:5" ht="15">
      <c r="A4" s="72"/>
      <c r="B4" s="72"/>
      <c r="C4" s="72"/>
      <c r="D4" s="72"/>
      <c r="E4" s="72"/>
    </row>
    <row r="5" spans="1:5" ht="15">
      <c r="A5" s="760" t="s">
        <v>212</v>
      </c>
      <c r="B5" s="760"/>
      <c r="C5" s="760"/>
      <c r="D5" s="760"/>
      <c r="E5" s="760"/>
    </row>
    <row r="6" spans="1:5" ht="45">
      <c r="A6" s="49" t="s">
        <v>210</v>
      </c>
      <c r="B6" s="49" t="s">
        <v>209</v>
      </c>
      <c r="C6" s="50" t="s">
        <v>186</v>
      </c>
      <c r="D6" s="50" t="s">
        <v>211</v>
      </c>
      <c r="E6" s="50" t="s">
        <v>187</v>
      </c>
    </row>
    <row r="7" spans="1:5" ht="15">
      <c r="A7" s="761">
        <f>'Produtividade IN 05-2017'!C4</f>
        <v>320</v>
      </c>
      <c r="B7" s="51" t="s">
        <v>246</v>
      </c>
      <c r="C7" s="74">
        <f>(1/(30*A7))</f>
        <v>0.00010416666666666667</v>
      </c>
      <c r="D7" s="52">
        <v>4286.69</v>
      </c>
      <c r="E7" s="53">
        <f>ROUND(C7*D7,2)</f>
        <v>0.45</v>
      </c>
    </row>
    <row r="8" spans="1:5" ht="15">
      <c r="A8" s="762"/>
      <c r="B8" s="51" t="s">
        <v>173</v>
      </c>
      <c r="C8" s="74">
        <f>(1/A7)</f>
        <v>0.003125</v>
      </c>
      <c r="D8" s="52">
        <v>2962.78</v>
      </c>
      <c r="E8" s="53">
        <f>ROUND(C8*D8,2)</f>
        <v>9.26</v>
      </c>
    </row>
    <row r="9" spans="1:5" ht="15">
      <c r="A9" s="764" t="s">
        <v>174</v>
      </c>
      <c r="B9" s="765"/>
      <c r="C9" s="765"/>
      <c r="D9" s="766"/>
      <c r="E9" s="55">
        <f>SUM(E7:E8)</f>
        <v>9.709999999999999</v>
      </c>
    </row>
    <row r="10" spans="1:5" ht="15">
      <c r="A10" s="72"/>
      <c r="B10" s="72"/>
      <c r="C10" s="72"/>
      <c r="D10" s="72"/>
      <c r="E10" s="72"/>
    </row>
    <row r="11" spans="1:5" ht="15">
      <c r="A11" s="760" t="s">
        <v>178</v>
      </c>
      <c r="B11" s="760"/>
      <c r="C11" s="760"/>
      <c r="D11" s="760"/>
      <c r="E11" s="760"/>
    </row>
    <row r="12" spans="1:5" ht="45">
      <c r="A12" s="49" t="s">
        <v>210</v>
      </c>
      <c r="B12" s="49" t="s">
        <v>209</v>
      </c>
      <c r="C12" s="50" t="s">
        <v>186</v>
      </c>
      <c r="D12" s="50" t="s">
        <v>211</v>
      </c>
      <c r="E12" s="50" t="s">
        <v>187</v>
      </c>
    </row>
    <row r="13" spans="1:5" ht="15">
      <c r="A13" s="761">
        <f>'Produtividade IN 05-2017'!C5</f>
        <v>90</v>
      </c>
      <c r="B13" s="51" t="s">
        <v>246</v>
      </c>
      <c r="C13" s="74">
        <f>(1/(30*A13))</f>
        <v>0.00037037037037037035</v>
      </c>
      <c r="D13" s="52">
        <f>D7</f>
        <v>4286.69</v>
      </c>
      <c r="E13" s="53">
        <f>ROUND(C13*D13,2)</f>
        <v>1.59</v>
      </c>
    </row>
    <row r="14" spans="1:5" ht="15">
      <c r="A14" s="762"/>
      <c r="B14" s="51" t="s">
        <v>173</v>
      </c>
      <c r="C14" s="74">
        <f>(1/A13)</f>
        <v>0.011111111111111112</v>
      </c>
      <c r="D14" s="52">
        <f>D8</f>
        <v>2962.78</v>
      </c>
      <c r="E14" s="53">
        <f>ROUND(C14*D14,2)</f>
        <v>32.92</v>
      </c>
    </row>
    <row r="15" spans="1:5" ht="15">
      <c r="A15" s="764" t="s">
        <v>174</v>
      </c>
      <c r="B15" s="765"/>
      <c r="C15" s="765"/>
      <c r="D15" s="766"/>
      <c r="E15" s="55">
        <f>SUM(E13:E14)</f>
        <v>34.510000000000005</v>
      </c>
    </row>
    <row r="17" spans="1:5" ht="15">
      <c r="A17" s="763" t="s">
        <v>175</v>
      </c>
      <c r="B17" s="763"/>
      <c r="C17" s="763"/>
      <c r="D17" s="763"/>
      <c r="E17" s="763"/>
    </row>
    <row r="19" spans="1:5" ht="15">
      <c r="A19" s="760" t="s">
        <v>180</v>
      </c>
      <c r="B19" s="760"/>
      <c r="C19" s="760"/>
      <c r="D19" s="760"/>
      <c r="E19" s="760"/>
    </row>
    <row r="20" spans="1:5" ht="45">
      <c r="A20" s="49" t="s">
        <v>210</v>
      </c>
      <c r="B20" s="49" t="s">
        <v>209</v>
      </c>
      <c r="C20" s="50" t="s">
        <v>186</v>
      </c>
      <c r="D20" s="50" t="s">
        <v>211</v>
      </c>
      <c r="E20" s="50" t="s">
        <v>187</v>
      </c>
    </row>
    <row r="21" spans="1:5" ht="15">
      <c r="A21" s="761">
        <f>'Produtividade IN 05-2017'!C8</f>
        <v>2500</v>
      </c>
      <c r="B21" s="51" t="s">
        <v>246</v>
      </c>
      <c r="C21" s="74">
        <f>(1/(30*A21))</f>
        <v>1.3333333333333333E-05</v>
      </c>
      <c r="D21" s="52">
        <f>D7</f>
        <v>4286.69</v>
      </c>
      <c r="E21" s="53">
        <f>ROUND(C21*D21,2)</f>
        <v>0.06</v>
      </c>
    </row>
    <row r="22" spans="1:5" ht="15">
      <c r="A22" s="762"/>
      <c r="B22" s="51" t="s">
        <v>173</v>
      </c>
      <c r="C22" s="74">
        <f>(1/A21)</f>
        <v>0.0004</v>
      </c>
      <c r="D22" s="52">
        <f>D8</f>
        <v>2962.78</v>
      </c>
      <c r="E22" s="53">
        <f>ROUND(C22*D22,2)</f>
        <v>1.19</v>
      </c>
    </row>
    <row r="23" spans="1:5" ht="15">
      <c r="A23" s="764" t="s">
        <v>174</v>
      </c>
      <c r="B23" s="765"/>
      <c r="C23" s="765"/>
      <c r="D23" s="766"/>
      <c r="E23" s="55">
        <f>SUM(E21:E22)</f>
        <v>1.25</v>
      </c>
    </row>
    <row r="25" spans="1:5" ht="15">
      <c r="A25" s="760" t="s">
        <v>181</v>
      </c>
      <c r="B25" s="760"/>
      <c r="C25" s="760"/>
      <c r="D25" s="760"/>
      <c r="E25" s="760"/>
    </row>
    <row r="26" spans="1:5" ht="45">
      <c r="A26" s="49" t="s">
        <v>210</v>
      </c>
      <c r="B26" s="49" t="s">
        <v>209</v>
      </c>
      <c r="C26" s="50" t="s">
        <v>186</v>
      </c>
      <c r="D26" s="50" t="s">
        <v>211</v>
      </c>
      <c r="E26" s="50" t="s">
        <v>187</v>
      </c>
    </row>
    <row r="27" spans="1:5" ht="15">
      <c r="A27" s="761">
        <f>'Produtividade IN 05-2017'!C9</f>
        <v>6000</v>
      </c>
      <c r="B27" s="51" t="s">
        <v>246</v>
      </c>
      <c r="C27" s="74">
        <f>(1/(30*A27))</f>
        <v>5.555555555555556E-06</v>
      </c>
      <c r="D27" s="52">
        <f>D7</f>
        <v>4286.69</v>
      </c>
      <c r="E27" s="53">
        <f>ROUND(C27*D27,2)</f>
        <v>0.02</v>
      </c>
    </row>
    <row r="28" spans="1:5" ht="15">
      <c r="A28" s="762"/>
      <c r="B28" s="51" t="s">
        <v>173</v>
      </c>
      <c r="C28" s="74">
        <f>(1/A27)</f>
        <v>0.00016666666666666666</v>
      </c>
      <c r="D28" s="52">
        <f>D8</f>
        <v>2962.78</v>
      </c>
      <c r="E28" s="53">
        <f>ROUND(C28*D28,2)</f>
        <v>0.49</v>
      </c>
    </row>
    <row r="29" spans="1:5" ht="15">
      <c r="A29" s="764" t="s">
        <v>174</v>
      </c>
      <c r="B29" s="765"/>
      <c r="C29" s="765"/>
      <c r="D29" s="766"/>
      <c r="E29" s="55">
        <f>SUM(E27:E28)</f>
        <v>0.51</v>
      </c>
    </row>
    <row r="31" spans="1:5" ht="15">
      <c r="A31" s="760" t="s">
        <v>182</v>
      </c>
      <c r="B31" s="760"/>
      <c r="C31" s="760"/>
      <c r="D31" s="760"/>
      <c r="E31" s="760"/>
    </row>
    <row r="32" spans="1:5" ht="45">
      <c r="A32" s="49" t="s">
        <v>210</v>
      </c>
      <c r="B32" s="49" t="s">
        <v>209</v>
      </c>
      <c r="C32" s="50" t="s">
        <v>186</v>
      </c>
      <c r="D32" s="50" t="s">
        <v>211</v>
      </c>
      <c r="E32" s="50" t="s">
        <v>187</v>
      </c>
    </row>
    <row r="33" spans="1:5" ht="15">
      <c r="A33" s="761">
        <f>'Produtividade IN 05-2017'!C10</f>
        <v>2500</v>
      </c>
      <c r="B33" s="51" t="s">
        <v>246</v>
      </c>
      <c r="C33" s="74">
        <f>(1/(30*A33))</f>
        <v>1.3333333333333333E-05</v>
      </c>
      <c r="D33" s="52">
        <f>D7</f>
        <v>4286.69</v>
      </c>
      <c r="E33" s="53">
        <f>ROUND(C33*D33,2)</f>
        <v>0.06</v>
      </c>
    </row>
    <row r="34" spans="1:5" ht="15">
      <c r="A34" s="762"/>
      <c r="B34" s="51" t="s">
        <v>173</v>
      </c>
      <c r="C34" s="74">
        <f>(1/A33)</f>
        <v>0.0004</v>
      </c>
      <c r="D34" s="52">
        <f>D8</f>
        <v>2962.78</v>
      </c>
      <c r="E34" s="53">
        <f>ROUND(C34*D34,2)</f>
        <v>1.19</v>
      </c>
    </row>
    <row r="35" spans="1:5" ht="15">
      <c r="A35" s="764" t="s">
        <v>174</v>
      </c>
      <c r="B35" s="765"/>
      <c r="C35" s="765"/>
      <c r="D35" s="766"/>
      <c r="E35" s="55">
        <f>SUM(E33:E34)</f>
        <v>1.25</v>
      </c>
    </row>
    <row r="37" spans="1:8" ht="15">
      <c r="A37" s="763" t="s">
        <v>226</v>
      </c>
      <c r="B37" s="763"/>
      <c r="C37" s="763"/>
      <c r="D37" s="763"/>
      <c r="E37" s="763"/>
      <c r="F37" s="763"/>
      <c r="G37" s="763"/>
      <c r="H37" s="763"/>
    </row>
    <row r="39" spans="1:8" ht="15">
      <c r="A39" s="760" t="s">
        <v>225</v>
      </c>
      <c r="B39" s="760"/>
      <c r="C39" s="760"/>
      <c r="D39" s="760"/>
      <c r="E39" s="760"/>
      <c r="F39" s="760"/>
      <c r="G39" s="760"/>
      <c r="H39" s="760"/>
    </row>
    <row r="40" spans="1:8" ht="75">
      <c r="A40" s="49" t="s">
        <v>210</v>
      </c>
      <c r="B40" s="49" t="s">
        <v>209</v>
      </c>
      <c r="C40" s="50" t="s">
        <v>186</v>
      </c>
      <c r="D40" s="50" t="s">
        <v>227</v>
      </c>
      <c r="E40" s="59" t="s">
        <v>228</v>
      </c>
      <c r="F40" s="50" t="s">
        <v>229</v>
      </c>
      <c r="G40" s="50" t="s">
        <v>230</v>
      </c>
      <c r="H40" s="50" t="s">
        <v>231</v>
      </c>
    </row>
    <row r="41" spans="1:8" ht="15">
      <c r="A41" s="767">
        <f>'Produtividade IN 05-2017'!C13</f>
        <v>380</v>
      </c>
      <c r="B41" s="51" t="s">
        <v>246</v>
      </c>
      <c r="C41" s="90">
        <f>(1/(30*A41))</f>
        <v>8.771929824561403E-05</v>
      </c>
      <c r="D41" s="91">
        <v>4</v>
      </c>
      <c r="E41" s="92">
        <f>1/C53</f>
        <v>0.0008829554284099739</v>
      </c>
      <c r="F41" s="93">
        <f>C41*D41*E41</f>
        <v>3.098089222491136E-07</v>
      </c>
      <c r="G41" s="94">
        <v>4286.69</v>
      </c>
      <c r="H41" s="95">
        <f>ROUND(F41*G41,4)</f>
        <v>0.0013</v>
      </c>
    </row>
    <row r="42" spans="1:8" ht="15">
      <c r="A42" s="768"/>
      <c r="B42" s="96" t="s">
        <v>232</v>
      </c>
      <c r="C42" s="90">
        <f>(1/A41)</f>
        <v>0.002631578947368421</v>
      </c>
      <c r="D42" s="91">
        <v>4</v>
      </c>
      <c r="E42" s="97">
        <f>1/C53</f>
        <v>0.0008829554284099739</v>
      </c>
      <c r="F42" s="47">
        <f>C42*D42*E42</f>
        <v>9.294267667473409E-06</v>
      </c>
      <c r="G42" s="94">
        <v>4303.84</v>
      </c>
      <c r="H42" s="98">
        <f>ROUND(F42*G42,2)</f>
        <v>0.04</v>
      </c>
    </row>
    <row r="43" spans="1:8" ht="15">
      <c r="A43" s="760" t="s">
        <v>174</v>
      </c>
      <c r="B43" s="760"/>
      <c r="C43" s="760"/>
      <c r="D43" s="760"/>
      <c r="E43" s="760"/>
      <c r="F43" s="760"/>
      <c r="G43" s="760"/>
      <c r="H43" s="58">
        <f>SUM(H41:H42)</f>
        <v>0.0413</v>
      </c>
    </row>
    <row r="45" ht="15">
      <c r="A45" s="99" t="s">
        <v>233</v>
      </c>
    </row>
    <row r="46" spans="1:3" ht="15">
      <c r="A46" s="100" t="s">
        <v>234</v>
      </c>
      <c r="B46" s="48"/>
      <c r="C46" s="100">
        <v>365</v>
      </c>
    </row>
    <row r="47" spans="1:3" ht="15">
      <c r="A47" s="100" t="s">
        <v>235</v>
      </c>
      <c r="B47" s="48"/>
      <c r="C47" s="100">
        <v>12</v>
      </c>
    </row>
    <row r="48" spans="1:3" ht="15">
      <c r="A48" s="100" t="s">
        <v>236</v>
      </c>
      <c r="B48" s="48"/>
      <c r="C48" s="100">
        <v>30</v>
      </c>
    </row>
    <row r="49" spans="1:3" ht="15">
      <c r="A49" s="100" t="s">
        <v>237</v>
      </c>
      <c r="B49" s="48"/>
      <c r="C49" s="100">
        <v>7</v>
      </c>
    </row>
    <row r="50" spans="1:3" ht="15">
      <c r="A50" s="100" t="s">
        <v>238</v>
      </c>
      <c r="B50" s="101"/>
      <c r="C50" s="102">
        <f>C48/C49</f>
        <v>4.285714285714286</v>
      </c>
    </row>
    <row r="51" spans="1:3" ht="15">
      <c r="A51" s="100" t="s">
        <v>239</v>
      </c>
      <c r="B51" s="48"/>
      <c r="C51" s="100" t="s">
        <v>240</v>
      </c>
    </row>
    <row r="52" spans="1:3" ht="15">
      <c r="A52" s="100" t="s">
        <v>241</v>
      </c>
      <c r="B52" s="101"/>
      <c r="C52" s="102">
        <f>4.29*44</f>
        <v>188.76</v>
      </c>
    </row>
    <row r="53" spans="1:3" ht="15">
      <c r="A53" s="100" t="s">
        <v>242</v>
      </c>
      <c r="B53" s="48"/>
      <c r="C53" s="100">
        <f>6*C52</f>
        <v>1132.56</v>
      </c>
    </row>
  </sheetData>
  <sheetProtection/>
  <mergeCells count="22">
    <mergeCell ref="A13:A14"/>
    <mergeCell ref="A15:D15"/>
    <mergeCell ref="A17:E17"/>
    <mergeCell ref="A1:E1"/>
    <mergeCell ref="A3:E3"/>
    <mergeCell ref="A7:A8"/>
    <mergeCell ref="A9:D9"/>
    <mergeCell ref="A5:E5"/>
    <mergeCell ref="A11:E11"/>
    <mergeCell ref="A43:G43"/>
    <mergeCell ref="A25:E25"/>
    <mergeCell ref="A27:A28"/>
    <mergeCell ref="A29:D29"/>
    <mergeCell ref="A31:E31"/>
    <mergeCell ref="A33:A34"/>
    <mergeCell ref="A35:D35"/>
    <mergeCell ref="A19:E19"/>
    <mergeCell ref="A21:A22"/>
    <mergeCell ref="A37:H37"/>
    <mergeCell ref="A39:H39"/>
    <mergeCell ref="A23:D23"/>
    <mergeCell ref="A41:A42"/>
  </mergeCells>
  <printOptions/>
  <pageMargins left="0.511811024" right="0.511811024" top="0.787401575" bottom="0.787401575" header="0.31496062" footer="0.31496062"/>
  <pageSetup fitToHeight="1" fitToWidth="1" horizontalDpi="600" verticalDpi="600" orientation="portrait" paperSize="9" scale="71" r:id="rId1"/>
</worksheet>
</file>

<file path=xl/worksheets/sheet22.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1">
      <selection activeCell="K17" sqref="K17"/>
    </sheetView>
  </sheetViews>
  <sheetFormatPr defaultColWidth="9.140625" defaultRowHeight="15"/>
  <cols>
    <col min="1" max="1" width="12.28125" style="0" customWidth="1"/>
    <col min="2" max="2" width="15.57421875" style="0" customWidth="1"/>
    <col min="3" max="3" width="55.140625" style="0" customWidth="1"/>
    <col min="4" max="4" width="14.140625" style="0" customWidth="1"/>
    <col min="5" max="5" width="12.7109375" style="0" customWidth="1"/>
    <col min="7" max="7" width="11.421875" style="0" customWidth="1"/>
    <col min="8" max="8" width="14.8515625" style="0" customWidth="1"/>
  </cols>
  <sheetData>
    <row r="1" spans="1:8" ht="15">
      <c r="A1" s="775" t="s">
        <v>199</v>
      </c>
      <c r="B1" s="776"/>
      <c r="C1" s="776"/>
      <c r="D1" s="776"/>
      <c r="E1" s="776"/>
      <c r="F1" s="776"/>
      <c r="G1" s="776"/>
      <c r="H1" s="777"/>
    </row>
    <row r="2" spans="1:8" s="46" customFormat="1" ht="15">
      <c r="A2" s="68"/>
      <c r="B2" s="68"/>
      <c r="C2" s="68"/>
      <c r="D2" s="69"/>
      <c r="E2" s="69"/>
      <c r="F2" s="69"/>
      <c r="G2" s="69"/>
      <c r="H2" s="69"/>
    </row>
    <row r="3" spans="1:8" ht="45">
      <c r="A3" s="50" t="s">
        <v>191</v>
      </c>
      <c r="B3" s="778" t="s">
        <v>207</v>
      </c>
      <c r="C3" s="778"/>
      <c r="D3" s="64" t="s">
        <v>205</v>
      </c>
      <c r="E3" s="64" t="s">
        <v>202</v>
      </c>
      <c r="F3" s="64" t="s">
        <v>201</v>
      </c>
      <c r="G3" s="64" t="s">
        <v>204</v>
      </c>
      <c r="H3" s="64" t="s">
        <v>192</v>
      </c>
    </row>
    <row r="4" spans="1:8" ht="17.25">
      <c r="A4" s="778" t="s">
        <v>213</v>
      </c>
      <c r="B4" s="787" t="s">
        <v>172</v>
      </c>
      <c r="C4" s="47" t="s">
        <v>212</v>
      </c>
      <c r="D4" s="54" t="s">
        <v>206</v>
      </c>
      <c r="E4" s="57">
        <f>'Produtividade IN 05-2017'!B4</f>
        <v>225.61</v>
      </c>
      <c r="F4" s="57" t="s">
        <v>203</v>
      </c>
      <c r="G4" s="65">
        <f>'Produtividade x M2'!E9</f>
        <v>9.709999999999999</v>
      </c>
      <c r="H4" s="65">
        <f>ROUND(E4*G4,2)</f>
        <v>2190.67</v>
      </c>
    </row>
    <row r="5" spans="1:8" ht="17.25">
      <c r="A5" s="778"/>
      <c r="B5" s="787"/>
      <c r="C5" s="47" t="s">
        <v>178</v>
      </c>
      <c r="D5" s="54" t="s">
        <v>206</v>
      </c>
      <c r="E5" s="57">
        <f>'Produtividade IN 05-2017'!B5</f>
        <v>16.92</v>
      </c>
      <c r="F5" s="57" t="s">
        <v>203</v>
      </c>
      <c r="G5" s="65">
        <f>'Produtividade x M2'!E15</f>
        <v>34.510000000000005</v>
      </c>
      <c r="H5" s="65">
        <f>ROUND(E5*G5,2)</f>
        <v>583.91</v>
      </c>
    </row>
    <row r="6" ht="4.5" customHeight="1">
      <c r="A6" s="778"/>
    </row>
    <row r="7" spans="1:8" ht="17.25">
      <c r="A7" s="778"/>
      <c r="B7" s="787" t="s">
        <v>175</v>
      </c>
      <c r="C7" s="51" t="s">
        <v>180</v>
      </c>
      <c r="D7" s="54" t="str">
        <f>D4</f>
        <v>Mensal</v>
      </c>
      <c r="E7" s="57">
        <f>'Produtividade IN 05-2017'!B8</f>
        <v>100.47</v>
      </c>
      <c r="F7" s="57" t="s">
        <v>203</v>
      </c>
      <c r="G7" s="65">
        <f>'Produtividade x M2'!E23</f>
        <v>1.25</v>
      </c>
      <c r="H7" s="65">
        <f>ROUND(E7*G7,2)</f>
        <v>125.59</v>
      </c>
    </row>
    <row r="8" spans="1:8" ht="17.25">
      <c r="A8" s="778"/>
      <c r="B8" s="787"/>
      <c r="C8" s="51" t="s">
        <v>181</v>
      </c>
      <c r="D8" s="54" t="str">
        <f>D5</f>
        <v>Mensal</v>
      </c>
      <c r="E8" s="57">
        <f>'Produtividade IN 05-2017'!B9</f>
        <v>49.35</v>
      </c>
      <c r="F8" s="57" t="s">
        <v>203</v>
      </c>
      <c r="G8" s="65">
        <f>'Produtividade x M2'!E29</f>
        <v>0.51</v>
      </c>
      <c r="H8" s="65">
        <f>ROUND(E8*G8,2)</f>
        <v>25.17</v>
      </c>
    </row>
    <row r="9" spans="1:8" ht="17.25">
      <c r="A9" s="778"/>
      <c r="B9" s="787"/>
      <c r="C9" s="51" t="s">
        <v>182</v>
      </c>
      <c r="D9" s="54" t="str">
        <f>D8</f>
        <v>Mensal</v>
      </c>
      <c r="E9" s="57">
        <f>'Produtividade IN 05-2017'!B10</f>
        <v>40.69</v>
      </c>
      <c r="F9" s="57" t="s">
        <v>203</v>
      </c>
      <c r="G9" s="65">
        <f>'Produtividade x M2'!E35</f>
        <v>1.25</v>
      </c>
      <c r="H9" s="65">
        <f>ROUND(E9*G9,2)</f>
        <v>50.86</v>
      </c>
    </row>
    <row r="10" spans="1:8" ht="4.5" customHeight="1">
      <c r="A10" s="778"/>
      <c r="B10" s="790"/>
      <c r="C10" s="791"/>
      <c r="D10" s="791"/>
      <c r="E10" s="791"/>
      <c r="F10" s="791"/>
      <c r="G10" s="791"/>
      <c r="H10" s="792"/>
    </row>
    <row r="11" spans="1:8" ht="18.75" customHeight="1">
      <c r="A11" s="778"/>
      <c r="B11" s="103" t="s">
        <v>243</v>
      </c>
      <c r="C11" s="104" t="s">
        <v>225</v>
      </c>
      <c r="D11" s="105" t="s">
        <v>248</v>
      </c>
      <c r="E11" s="106">
        <f>'Produtividade IN 05-2017'!B13</f>
        <v>83.03</v>
      </c>
      <c r="F11" s="106" t="s">
        <v>203</v>
      </c>
      <c r="G11" s="107">
        <f>'Produtividade x M2'!H43</f>
        <v>0.0413</v>
      </c>
      <c r="H11" s="65">
        <f>ROUND(E11*G11,2)</f>
        <v>3.43</v>
      </c>
    </row>
    <row r="12" spans="1:8" ht="4.5" customHeight="1">
      <c r="A12" s="778"/>
      <c r="B12" s="780"/>
      <c r="C12" s="781"/>
      <c r="D12" s="781"/>
      <c r="E12" s="781"/>
      <c r="F12" s="781"/>
      <c r="G12" s="781"/>
      <c r="H12" s="782"/>
    </row>
    <row r="13" spans="1:8" ht="15">
      <c r="A13" s="778"/>
      <c r="B13" s="788" t="s">
        <v>193</v>
      </c>
      <c r="C13" s="789"/>
      <c r="D13" s="73"/>
      <c r="E13" s="75">
        <f>SUM(E4:E11)</f>
        <v>516.07</v>
      </c>
      <c r="F13" s="784"/>
      <c r="G13" s="785"/>
      <c r="H13" s="786"/>
    </row>
    <row r="14" spans="1:8" ht="15">
      <c r="A14" s="778"/>
      <c r="B14" s="779" t="s">
        <v>194</v>
      </c>
      <c r="C14" s="779"/>
      <c r="D14" s="779"/>
      <c r="E14" s="779"/>
      <c r="F14" s="779"/>
      <c r="G14" s="779"/>
      <c r="H14" s="56">
        <f>SUM(H4:H11)</f>
        <v>2979.63</v>
      </c>
    </row>
    <row r="16" spans="1:8" ht="15">
      <c r="A16" s="783" t="s">
        <v>195</v>
      </c>
      <c r="B16" s="783"/>
      <c r="C16" s="783"/>
      <c r="D16" s="783"/>
      <c r="E16" s="783"/>
      <c r="F16" s="783"/>
      <c r="G16" s="783"/>
      <c r="H16" s="783"/>
    </row>
    <row r="17" spans="1:8" ht="15">
      <c r="A17" s="770" t="s">
        <v>196</v>
      </c>
      <c r="B17" s="771"/>
      <c r="C17" s="771"/>
      <c r="D17" s="771"/>
      <c r="E17" s="771"/>
      <c r="F17" s="771"/>
      <c r="G17" s="772"/>
      <c r="H17" s="58">
        <f>H14</f>
        <v>2979.63</v>
      </c>
    </row>
    <row r="18" spans="1:8" ht="15">
      <c r="A18" s="770" t="s">
        <v>197</v>
      </c>
      <c r="B18" s="771"/>
      <c r="C18" s="772"/>
      <c r="D18" s="773">
        <v>12</v>
      </c>
      <c r="E18" s="774"/>
      <c r="F18" s="774"/>
      <c r="G18" s="66" t="s">
        <v>198</v>
      </c>
      <c r="H18" s="67">
        <f>H17*D18</f>
        <v>35755.56</v>
      </c>
    </row>
  </sheetData>
  <sheetProtection/>
  <mergeCells count="14">
    <mergeCell ref="B7:B9"/>
    <mergeCell ref="B13:C13"/>
    <mergeCell ref="B10:H10"/>
    <mergeCell ref="A17:G17"/>
    <mergeCell ref="A18:C18"/>
    <mergeCell ref="D18:F18"/>
    <mergeCell ref="A1:H1"/>
    <mergeCell ref="A4:A14"/>
    <mergeCell ref="B14:G14"/>
    <mergeCell ref="B12:H12"/>
    <mergeCell ref="A16:H16"/>
    <mergeCell ref="B3:C3"/>
    <mergeCell ref="F13:H13"/>
    <mergeCell ref="B4:B5"/>
  </mergeCells>
  <printOptions/>
  <pageMargins left="0.511811024" right="0.511811024" top="0.787401575" bottom="0.787401575" header="0.31496062" footer="0.31496062"/>
  <pageSetup fitToHeight="1" fitToWidth="1" horizontalDpi="600" verticalDpi="600" orientation="landscape"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T172"/>
  <sheetViews>
    <sheetView showGridLines="0" showZeros="0" view="pageBreakPreview" zoomScale="70" zoomScaleSheetLayoutView="70" zoomScalePageLayoutView="60" workbookViewId="0" topLeftCell="A139">
      <selection activeCell="K16" sqref="K16"/>
    </sheetView>
  </sheetViews>
  <sheetFormatPr defaultColWidth="8.7109375" defaultRowHeight="15"/>
  <cols>
    <col min="1" max="1" width="7.140625" style="115" customWidth="1"/>
    <col min="2" max="2" width="6.7109375" style="115" customWidth="1"/>
    <col min="3" max="3" width="6.28125" style="115" customWidth="1"/>
    <col min="4" max="4" width="8.7109375" style="115" customWidth="1"/>
    <col min="5" max="5" width="11.28125" style="115" customWidth="1"/>
    <col min="6" max="6" width="19.140625" style="115" customWidth="1"/>
    <col min="7" max="8" width="10.7109375" style="115" customWidth="1"/>
    <col min="9" max="9" width="8.7109375" style="115" customWidth="1"/>
    <col min="10" max="10" width="7.00390625" style="115" customWidth="1"/>
    <col min="11" max="11" width="37.140625" style="124" customWidth="1"/>
    <col min="12" max="12" width="3.421875" style="115" customWidth="1"/>
    <col min="13" max="13" width="11.140625" style="116" bestFit="1" customWidth="1"/>
    <col min="14" max="14" width="11.7109375" style="116" bestFit="1" customWidth="1"/>
    <col min="15" max="19" width="8.7109375" style="116" customWidth="1"/>
    <col min="20" max="20" width="19.57421875" style="116" customWidth="1"/>
    <col min="21" max="16384" width="8.7109375" style="115" customWidth="1"/>
  </cols>
  <sheetData>
    <row r="1" spans="1:11" ht="21.75" customHeight="1">
      <c r="A1" s="524" t="s">
        <v>685</v>
      </c>
      <c r="B1" s="524"/>
      <c r="C1" s="524"/>
      <c r="D1" s="524"/>
      <c r="E1" s="524"/>
      <c r="F1" s="524"/>
      <c r="G1" s="524"/>
      <c r="H1" s="524"/>
      <c r="I1" s="524"/>
      <c r="J1" s="524"/>
      <c r="K1" s="524"/>
    </row>
    <row r="2" spans="1:11" ht="6.75" customHeight="1">
      <c r="A2" s="476"/>
      <c r="B2" s="476"/>
      <c r="C2" s="476"/>
      <c r="D2" s="476"/>
      <c r="E2" s="476"/>
      <c r="F2" s="476"/>
      <c r="G2" s="476"/>
      <c r="H2" s="476"/>
      <c r="I2" s="476"/>
      <c r="J2" s="476"/>
      <c r="K2" s="476"/>
    </row>
    <row r="3" spans="1:11" ht="17.25" customHeight="1">
      <c r="A3" s="521" t="s">
        <v>75</v>
      </c>
      <c r="B3" s="521"/>
      <c r="C3" s="521"/>
      <c r="D3" s="523" t="s">
        <v>269</v>
      </c>
      <c r="E3" s="523"/>
      <c r="F3" s="523"/>
      <c r="G3" s="523"/>
      <c r="H3" s="523"/>
      <c r="I3" s="523"/>
      <c r="J3" s="523"/>
      <c r="K3" s="523"/>
    </row>
    <row r="4" spans="1:11" ht="17.25" customHeight="1">
      <c r="A4" s="521" t="s">
        <v>95</v>
      </c>
      <c r="B4" s="521"/>
      <c r="C4" s="521"/>
      <c r="D4" s="522"/>
      <c r="E4" s="522"/>
      <c r="F4" s="522"/>
      <c r="G4" s="522"/>
      <c r="H4" s="522"/>
      <c r="I4" s="522"/>
      <c r="J4" s="522"/>
      <c r="K4" s="522"/>
    </row>
    <row r="5" spans="1:11" ht="17.25" customHeight="1">
      <c r="A5" s="521" t="s">
        <v>96</v>
      </c>
      <c r="B5" s="521"/>
      <c r="C5" s="521"/>
      <c r="D5" s="522"/>
      <c r="E5" s="522"/>
      <c r="F5" s="522"/>
      <c r="G5" s="522"/>
      <c r="H5" s="522"/>
      <c r="I5" s="522"/>
      <c r="J5" s="522"/>
      <c r="K5" s="522"/>
    </row>
    <row r="6" spans="1:11" ht="17.25" customHeight="1">
      <c r="A6" s="521" t="s">
        <v>159</v>
      </c>
      <c r="B6" s="521"/>
      <c r="C6" s="521"/>
      <c r="D6" s="523" t="s">
        <v>268</v>
      </c>
      <c r="E6" s="523"/>
      <c r="F6" s="523"/>
      <c r="G6" s="523"/>
      <c r="H6" s="523"/>
      <c r="I6" s="523"/>
      <c r="J6" s="523"/>
      <c r="K6" s="523"/>
    </row>
    <row r="7" spans="1:11" ht="6.75" customHeight="1">
      <c r="A7" s="525"/>
      <c r="B7" s="525"/>
      <c r="C7" s="525"/>
      <c r="D7" s="525"/>
      <c r="E7" s="525"/>
      <c r="F7" s="525"/>
      <c r="G7" s="525"/>
      <c r="H7" s="525"/>
      <c r="I7" s="525"/>
      <c r="J7" s="525"/>
      <c r="K7" s="525"/>
    </row>
    <row r="8" spans="1:11" ht="6.75" customHeight="1">
      <c r="A8" s="457"/>
      <c r="B8" s="457"/>
      <c r="C8" s="457"/>
      <c r="D8" s="457"/>
      <c r="E8" s="457"/>
      <c r="F8" s="457"/>
      <c r="G8" s="457"/>
      <c r="H8" s="457"/>
      <c r="I8" s="457"/>
      <c r="J8" s="457"/>
      <c r="K8" s="457"/>
    </row>
    <row r="9" spans="1:11" ht="17.25" customHeight="1">
      <c r="A9" s="458" t="s">
        <v>0</v>
      </c>
      <c r="B9" s="458"/>
      <c r="C9" s="458"/>
      <c r="D9" s="458"/>
      <c r="E9" s="458"/>
      <c r="F9" s="458"/>
      <c r="G9" s="458"/>
      <c r="H9" s="458"/>
      <c r="I9" s="458"/>
      <c r="J9" s="458"/>
      <c r="K9" s="458"/>
    </row>
    <row r="10" spans="1:11" ht="17.25" customHeight="1">
      <c r="A10" s="401" t="s">
        <v>1</v>
      </c>
      <c r="B10" s="465" t="s">
        <v>2</v>
      </c>
      <c r="C10" s="465"/>
      <c r="D10" s="465"/>
      <c r="E10" s="465"/>
      <c r="F10" s="465"/>
      <c r="G10" s="465"/>
      <c r="H10" s="465"/>
      <c r="I10" s="465"/>
      <c r="J10" s="465"/>
      <c r="K10" s="413"/>
    </row>
    <row r="11" spans="1:11" ht="16.5" customHeight="1">
      <c r="A11" s="401" t="s">
        <v>3</v>
      </c>
      <c r="B11" s="465" t="s">
        <v>4</v>
      </c>
      <c r="C11" s="465"/>
      <c r="D11" s="465"/>
      <c r="E11" s="465"/>
      <c r="F11" s="465"/>
      <c r="G11" s="465"/>
      <c r="H11" s="465"/>
      <c r="I11" s="465"/>
      <c r="J11" s="465"/>
      <c r="K11" s="400" t="s">
        <v>270</v>
      </c>
    </row>
    <row r="12" spans="1:11" ht="15">
      <c r="A12" s="401" t="s">
        <v>5</v>
      </c>
      <c r="B12" s="465" t="s">
        <v>120</v>
      </c>
      <c r="C12" s="465"/>
      <c r="D12" s="465"/>
      <c r="E12" s="465"/>
      <c r="F12" s="465"/>
      <c r="G12" s="465"/>
      <c r="H12" s="465"/>
      <c r="I12" s="465"/>
      <c r="J12" s="465"/>
      <c r="K12" s="220" t="s">
        <v>271</v>
      </c>
    </row>
    <row r="13" spans="1:11" ht="16.5" customHeight="1">
      <c r="A13" s="401" t="s">
        <v>6</v>
      </c>
      <c r="B13" s="503" t="s">
        <v>77</v>
      </c>
      <c r="C13" s="503"/>
      <c r="D13" s="503"/>
      <c r="E13" s="503"/>
      <c r="F13" s="503"/>
      <c r="G13" s="503"/>
      <c r="H13" s="503"/>
      <c r="I13" s="503"/>
      <c r="J13" s="503"/>
      <c r="K13" s="400" t="s">
        <v>262</v>
      </c>
    </row>
    <row r="14" spans="1:11" ht="16.5" customHeight="1">
      <c r="A14" s="401" t="s">
        <v>8</v>
      </c>
      <c r="B14" s="503" t="s">
        <v>127</v>
      </c>
      <c r="C14" s="503"/>
      <c r="D14" s="503"/>
      <c r="E14" s="503"/>
      <c r="F14" s="503"/>
      <c r="G14" s="503"/>
      <c r="H14" s="503"/>
      <c r="I14" s="503"/>
      <c r="J14" s="503"/>
      <c r="K14" s="221" t="s">
        <v>223</v>
      </c>
    </row>
    <row r="15" spans="1:11" ht="16.5" customHeight="1">
      <c r="A15" s="401" t="s">
        <v>10</v>
      </c>
      <c r="B15" s="503" t="s">
        <v>7</v>
      </c>
      <c r="C15" s="503"/>
      <c r="D15" s="503"/>
      <c r="E15" s="503"/>
      <c r="F15" s="503"/>
      <c r="G15" s="503"/>
      <c r="H15" s="503"/>
      <c r="I15" s="503"/>
      <c r="J15" s="503"/>
      <c r="K15" s="400" t="s">
        <v>272</v>
      </c>
    </row>
    <row r="16" spans="1:12" ht="16.5" customHeight="1">
      <c r="A16" s="401" t="s">
        <v>11</v>
      </c>
      <c r="B16" s="503" t="s">
        <v>9</v>
      </c>
      <c r="C16" s="503"/>
      <c r="D16" s="503"/>
      <c r="E16" s="503"/>
      <c r="F16" s="503"/>
      <c r="G16" s="503"/>
      <c r="H16" s="503"/>
      <c r="I16" s="503"/>
      <c r="J16" s="503"/>
      <c r="K16" s="400" t="s">
        <v>273</v>
      </c>
      <c r="L16" s="117"/>
    </row>
    <row r="17" spans="1:12" ht="15.75" customHeight="1">
      <c r="A17" s="401" t="s">
        <v>12</v>
      </c>
      <c r="B17" s="503" t="s">
        <v>143</v>
      </c>
      <c r="C17" s="503"/>
      <c r="D17" s="503"/>
      <c r="E17" s="503"/>
      <c r="F17" s="503"/>
      <c r="G17" s="503"/>
      <c r="H17" s="503"/>
      <c r="I17" s="503"/>
      <c r="J17" s="503"/>
      <c r="K17" s="400">
        <v>1302</v>
      </c>
      <c r="L17" s="117"/>
    </row>
    <row r="18" spans="1:11" ht="16.5" customHeight="1">
      <c r="A18" s="401" t="s">
        <v>14</v>
      </c>
      <c r="B18" s="503" t="s">
        <v>162</v>
      </c>
      <c r="C18" s="503"/>
      <c r="D18" s="503"/>
      <c r="E18" s="503"/>
      <c r="F18" s="503"/>
      <c r="G18" s="503"/>
      <c r="H18" s="503"/>
      <c r="I18" s="503"/>
      <c r="J18" s="503"/>
      <c r="K18" s="402">
        <v>2283.36</v>
      </c>
    </row>
    <row r="19" spans="1:11" ht="25.5" customHeight="1">
      <c r="A19" s="401" t="s">
        <v>16</v>
      </c>
      <c r="B19" s="465" t="s">
        <v>84</v>
      </c>
      <c r="C19" s="465"/>
      <c r="D19" s="465"/>
      <c r="E19" s="465"/>
      <c r="F19" s="465"/>
      <c r="G19" s="465"/>
      <c r="H19" s="465"/>
      <c r="I19" s="465"/>
      <c r="J19" s="465"/>
      <c r="K19" s="240" t="s">
        <v>1151</v>
      </c>
    </row>
    <row r="20" spans="1:11" ht="16.5" customHeight="1">
      <c r="A20" s="401" t="s">
        <v>76</v>
      </c>
      <c r="B20" s="465" t="s">
        <v>13</v>
      </c>
      <c r="C20" s="465"/>
      <c r="D20" s="465"/>
      <c r="E20" s="465"/>
      <c r="F20" s="465"/>
      <c r="G20" s="465"/>
      <c r="H20" s="465"/>
      <c r="I20" s="465"/>
      <c r="J20" s="465"/>
      <c r="K20" s="241" t="s">
        <v>1150</v>
      </c>
    </row>
    <row r="21" spans="1:11" ht="17.25" customHeight="1">
      <c r="A21" s="401" t="s">
        <v>78</v>
      </c>
      <c r="B21" s="465" t="s">
        <v>15</v>
      </c>
      <c r="C21" s="465"/>
      <c r="D21" s="465"/>
      <c r="E21" s="465"/>
      <c r="F21" s="465"/>
      <c r="G21" s="465"/>
      <c r="H21" s="465"/>
      <c r="I21" s="465"/>
      <c r="J21" s="465"/>
      <c r="K21" s="242">
        <v>44317</v>
      </c>
    </row>
    <row r="22" spans="1:11" ht="17.25" customHeight="1">
      <c r="A22" s="401" t="s">
        <v>142</v>
      </c>
      <c r="B22" s="465" t="s">
        <v>17</v>
      </c>
      <c r="C22" s="465"/>
      <c r="D22" s="465"/>
      <c r="E22" s="465"/>
      <c r="F22" s="465"/>
      <c r="G22" s="465"/>
      <c r="H22" s="465"/>
      <c r="I22" s="465"/>
      <c r="J22" s="465"/>
      <c r="K22" s="222">
        <v>12</v>
      </c>
    </row>
    <row r="23" spans="1:11" ht="6.75" customHeight="1">
      <c r="A23" s="457"/>
      <c r="B23" s="457"/>
      <c r="C23" s="457"/>
      <c r="D23" s="457"/>
      <c r="E23" s="457"/>
      <c r="F23" s="457"/>
      <c r="G23" s="457"/>
      <c r="H23" s="457"/>
      <c r="I23" s="457"/>
      <c r="J23" s="457"/>
      <c r="K23" s="457"/>
    </row>
    <row r="24" spans="1:11" ht="17.25" customHeight="1">
      <c r="A24" s="458" t="s">
        <v>18</v>
      </c>
      <c r="B24" s="458"/>
      <c r="C24" s="458"/>
      <c r="D24" s="458"/>
      <c r="E24" s="458"/>
      <c r="F24" s="458"/>
      <c r="G24" s="458"/>
      <c r="H24" s="458"/>
      <c r="I24" s="458"/>
      <c r="J24" s="458"/>
      <c r="K24" s="458"/>
    </row>
    <row r="25" spans="1:11" ht="17.25" customHeight="1">
      <c r="A25" s="458"/>
      <c r="B25" s="458"/>
      <c r="C25" s="458"/>
      <c r="D25" s="458"/>
      <c r="E25" s="458"/>
      <c r="F25" s="458"/>
      <c r="G25" s="458"/>
      <c r="H25" s="458"/>
      <c r="I25" s="458"/>
      <c r="J25" s="458"/>
      <c r="K25" s="398" t="s">
        <v>20</v>
      </c>
    </row>
    <row r="26" spans="1:20" ht="17.25" customHeight="1">
      <c r="A26" s="401" t="s">
        <v>1</v>
      </c>
      <c r="B26" s="503" t="s">
        <v>21</v>
      </c>
      <c r="C26" s="503"/>
      <c r="D26" s="503"/>
      <c r="E26" s="503"/>
      <c r="F26" s="503"/>
      <c r="G26" s="503"/>
      <c r="H26" s="223">
        <v>220</v>
      </c>
      <c r="I26" s="451" t="s">
        <v>126</v>
      </c>
      <c r="J26" s="451"/>
      <c r="K26" s="402">
        <f>(K18/220)*H26</f>
        <v>2283.36</v>
      </c>
      <c r="M26" s="548"/>
      <c r="N26" s="548"/>
      <c r="O26" s="548"/>
      <c r="P26" s="548"/>
      <c r="Q26" s="548"/>
      <c r="R26" s="548"/>
      <c r="S26" s="548"/>
      <c r="T26" s="548"/>
    </row>
    <row r="27" spans="1:20" ht="17.25" customHeight="1">
      <c r="A27" s="401" t="s">
        <v>3</v>
      </c>
      <c r="B27" s="503" t="s">
        <v>98</v>
      </c>
      <c r="C27" s="503"/>
      <c r="D27" s="503"/>
      <c r="E27" s="503"/>
      <c r="F27" s="503"/>
      <c r="G27" s="503"/>
      <c r="H27" s="404">
        <v>0.3</v>
      </c>
      <c r="I27" s="451" t="s">
        <v>100</v>
      </c>
      <c r="J27" s="451"/>
      <c r="K27" s="400">
        <f>H27*K18</f>
        <v>685.008</v>
      </c>
      <c r="M27" s="186" t="s">
        <v>153</v>
      </c>
      <c r="N27" s="187"/>
      <c r="O27" s="187"/>
      <c r="P27" s="187"/>
      <c r="Q27" s="187"/>
      <c r="R27" s="187"/>
      <c r="S27" s="187"/>
      <c r="T27" s="188"/>
    </row>
    <row r="28" spans="1:20" ht="17.25" customHeight="1">
      <c r="A28" s="401" t="s">
        <v>5</v>
      </c>
      <c r="B28" s="503" t="s">
        <v>99</v>
      </c>
      <c r="C28" s="503"/>
      <c r="D28" s="503"/>
      <c r="E28" s="503"/>
      <c r="F28" s="503"/>
      <c r="G28" s="503"/>
      <c r="H28" s="404"/>
      <c r="I28" s="451" t="s">
        <v>100</v>
      </c>
      <c r="J28" s="451"/>
      <c r="K28" s="400">
        <f>H28*K17</f>
        <v>0</v>
      </c>
      <c r="M28" s="189" t="s">
        <v>153</v>
      </c>
      <c r="N28" s="190"/>
      <c r="O28" s="190"/>
      <c r="P28" s="190"/>
      <c r="Q28" s="190"/>
      <c r="R28" s="190"/>
      <c r="S28" s="190"/>
      <c r="T28" s="191"/>
    </row>
    <row r="29" spans="1:11" ht="17.25" customHeight="1">
      <c r="A29" s="401" t="s">
        <v>6</v>
      </c>
      <c r="B29" s="503" t="s">
        <v>101</v>
      </c>
      <c r="C29" s="503"/>
      <c r="D29" s="503"/>
      <c r="E29" s="503"/>
      <c r="F29" s="503"/>
      <c r="G29" s="503"/>
      <c r="H29" s="404"/>
      <c r="I29" s="451" t="s">
        <v>100</v>
      </c>
      <c r="J29" s="451"/>
      <c r="K29" s="400">
        <f>H29*K26</f>
        <v>0</v>
      </c>
    </row>
    <row r="30" spans="1:11" ht="17.25" customHeight="1">
      <c r="A30" s="401" t="s">
        <v>102</v>
      </c>
      <c r="B30" s="503" t="s">
        <v>103</v>
      </c>
      <c r="C30" s="503"/>
      <c r="D30" s="503"/>
      <c r="E30" s="503"/>
      <c r="F30" s="503"/>
      <c r="G30" s="503"/>
      <c r="H30" s="404"/>
      <c r="I30" s="451" t="s">
        <v>100</v>
      </c>
      <c r="J30" s="451"/>
      <c r="K30" s="400">
        <f>H30*K26</f>
        <v>0</v>
      </c>
    </row>
    <row r="31" spans="1:20" ht="17.25" customHeight="1">
      <c r="A31" s="451" t="s">
        <v>10</v>
      </c>
      <c r="B31" s="503" t="s">
        <v>140</v>
      </c>
      <c r="C31" s="503"/>
      <c r="D31" s="503"/>
      <c r="E31" s="503"/>
      <c r="F31" s="503"/>
      <c r="G31" s="519" t="s">
        <v>125</v>
      </c>
      <c r="H31" s="547" t="s">
        <v>123</v>
      </c>
      <c r="I31" s="519" t="s">
        <v>124</v>
      </c>
      <c r="J31" s="519"/>
      <c r="K31" s="546">
        <f>ROUND(I33*H33,2)</f>
        <v>0</v>
      </c>
      <c r="M31" s="538" t="s">
        <v>154</v>
      </c>
      <c r="N31" s="539"/>
      <c r="O31" s="539"/>
      <c r="P31" s="539"/>
      <c r="Q31" s="539"/>
      <c r="R31" s="539"/>
      <c r="S31" s="539"/>
      <c r="T31" s="540"/>
    </row>
    <row r="32" spans="1:20" ht="22.5" customHeight="1">
      <c r="A32" s="451"/>
      <c r="B32" s="503"/>
      <c r="C32" s="503"/>
      <c r="D32" s="503"/>
      <c r="E32" s="503"/>
      <c r="F32" s="503"/>
      <c r="G32" s="519"/>
      <c r="H32" s="547"/>
      <c r="I32" s="519"/>
      <c r="J32" s="519"/>
      <c r="K32" s="546"/>
      <c r="M32" s="541"/>
      <c r="N32" s="479"/>
      <c r="O32" s="479"/>
      <c r="P32" s="479"/>
      <c r="Q32" s="479"/>
      <c r="R32" s="479"/>
      <c r="S32" s="479"/>
      <c r="T32" s="542"/>
    </row>
    <row r="33" spans="1:20" ht="17.25" customHeight="1">
      <c r="A33" s="451"/>
      <c r="B33" s="503"/>
      <c r="C33" s="503"/>
      <c r="D33" s="503"/>
      <c r="E33" s="503"/>
      <c r="F33" s="503"/>
      <c r="G33" s="404"/>
      <c r="H33" s="223"/>
      <c r="I33" s="528">
        <f>(K26/H26)*(1+G33)</f>
        <v>10.378909090909092</v>
      </c>
      <c r="J33" s="528"/>
      <c r="K33" s="546"/>
      <c r="M33" s="543"/>
      <c r="N33" s="544"/>
      <c r="O33" s="544"/>
      <c r="P33" s="544"/>
      <c r="Q33" s="544"/>
      <c r="R33" s="544"/>
      <c r="S33" s="544"/>
      <c r="T33" s="545"/>
    </row>
    <row r="34" spans="1:11" ht="17.25" customHeight="1">
      <c r="A34" s="401" t="s">
        <v>11</v>
      </c>
      <c r="B34" s="491" t="s">
        <v>22</v>
      </c>
      <c r="C34" s="491"/>
      <c r="D34" s="491"/>
      <c r="E34" s="491"/>
      <c r="F34" s="491"/>
      <c r="G34" s="491"/>
      <c r="H34" s="491"/>
      <c r="I34" s="491"/>
      <c r="J34" s="491"/>
      <c r="K34" s="402"/>
    </row>
    <row r="35" spans="1:11" ht="17.25" customHeight="1">
      <c r="A35" s="458" t="s">
        <v>23</v>
      </c>
      <c r="B35" s="458"/>
      <c r="C35" s="458"/>
      <c r="D35" s="458"/>
      <c r="E35" s="458"/>
      <c r="F35" s="458"/>
      <c r="G35" s="458"/>
      <c r="H35" s="458"/>
      <c r="I35" s="458"/>
      <c r="J35" s="458"/>
      <c r="K35" s="224">
        <f>ROUND(SUM(K26:K34),2)</f>
        <v>2968.37</v>
      </c>
    </row>
    <row r="36" spans="1:11" ht="6.75" customHeight="1">
      <c r="A36" s="457"/>
      <c r="B36" s="457"/>
      <c r="C36" s="457"/>
      <c r="D36" s="457"/>
      <c r="E36" s="457"/>
      <c r="F36" s="457"/>
      <c r="G36" s="457"/>
      <c r="H36" s="457"/>
      <c r="I36" s="457"/>
      <c r="J36" s="457"/>
      <c r="K36" s="457"/>
    </row>
    <row r="37" spans="1:11" ht="17.25" customHeight="1">
      <c r="A37" s="458" t="s">
        <v>24</v>
      </c>
      <c r="B37" s="458"/>
      <c r="C37" s="458"/>
      <c r="D37" s="458"/>
      <c r="E37" s="458"/>
      <c r="F37" s="458"/>
      <c r="G37" s="458"/>
      <c r="H37" s="458"/>
      <c r="I37" s="458"/>
      <c r="J37" s="458"/>
      <c r="K37" s="458"/>
    </row>
    <row r="38" spans="1:13" ht="17.25" customHeight="1">
      <c r="A38" s="455" t="s">
        <v>121</v>
      </c>
      <c r="B38" s="455"/>
      <c r="C38" s="455"/>
      <c r="D38" s="455"/>
      <c r="E38" s="455"/>
      <c r="F38" s="455"/>
      <c r="G38" s="455"/>
      <c r="H38" s="455"/>
      <c r="I38" s="455"/>
      <c r="J38" s="455"/>
      <c r="K38" s="455"/>
      <c r="M38" s="118"/>
    </row>
    <row r="39" spans="1:20" s="119" customFormat="1" ht="17.25" customHeight="1">
      <c r="A39" s="498"/>
      <c r="B39" s="498"/>
      <c r="C39" s="498"/>
      <c r="D39" s="498"/>
      <c r="E39" s="498"/>
      <c r="F39" s="498"/>
      <c r="G39" s="498"/>
      <c r="H39" s="498"/>
      <c r="I39" s="458" t="s">
        <v>25</v>
      </c>
      <c r="J39" s="458"/>
      <c r="K39" s="398" t="s">
        <v>20</v>
      </c>
      <c r="M39" s="116"/>
      <c r="N39" s="116"/>
      <c r="O39" s="116"/>
      <c r="P39" s="116"/>
      <c r="Q39" s="116"/>
      <c r="R39" s="116"/>
      <c r="S39" s="116"/>
      <c r="T39" s="116"/>
    </row>
    <row r="40" spans="1:20" ht="17.25" customHeight="1">
      <c r="A40" s="401" t="s">
        <v>1</v>
      </c>
      <c r="B40" s="465" t="s">
        <v>122</v>
      </c>
      <c r="C40" s="465"/>
      <c r="D40" s="465"/>
      <c r="E40" s="465"/>
      <c r="F40" s="465"/>
      <c r="G40" s="465"/>
      <c r="H40" s="465"/>
      <c r="I40" s="501">
        <f>ROUND(1/12,4)</f>
        <v>0.0833</v>
      </c>
      <c r="J40" s="501"/>
      <c r="K40" s="405">
        <f>ROUND(I40*$K$35,2)</f>
        <v>247.27</v>
      </c>
      <c r="M40" s="529" t="s">
        <v>249</v>
      </c>
      <c r="N40" s="530"/>
      <c r="O40" s="530"/>
      <c r="P40" s="530"/>
      <c r="Q40" s="530"/>
      <c r="R40" s="530"/>
      <c r="S40" s="530"/>
      <c r="T40" s="531"/>
    </row>
    <row r="41" spans="1:20" ht="17.25" customHeight="1">
      <c r="A41" s="401" t="s">
        <v>3</v>
      </c>
      <c r="B41" s="503" t="s">
        <v>26</v>
      </c>
      <c r="C41" s="503"/>
      <c r="D41" s="503"/>
      <c r="E41" s="503"/>
      <c r="F41" s="503"/>
      <c r="G41" s="503"/>
      <c r="H41" s="503"/>
      <c r="I41" s="501">
        <f>ROUND(1/3/12,4)</f>
        <v>0.0278</v>
      </c>
      <c r="J41" s="501"/>
      <c r="K41" s="405">
        <f>ROUND(I41*$K$35,2)</f>
        <v>82.52</v>
      </c>
      <c r="M41" s="532"/>
      <c r="N41" s="533"/>
      <c r="O41" s="533"/>
      <c r="P41" s="533"/>
      <c r="Q41" s="533"/>
      <c r="R41" s="533"/>
      <c r="S41" s="533"/>
      <c r="T41" s="534"/>
    </row>
    <row r="42" spans="1:20" ht="17.25" customHeight="1">
      <c r="A42" s="225" t="s">
        <v>5</v>
      </c>
      <c r="B42" s="502" t="s">
        <v>141</v>
      </c>
      <c r="C42" s="502"/>
      <c r="D42" s="502"/>
      <c r="E42" s="502"/>
      <c r="F42" s="502"/>
      <c r="G42" s="502"/>
      <c r="H42" s="502"/>
      <c r="I42" s="501">
        <f>ROUND(1/12,4)</f>
        <v>0.0833</v>
      </c>
      <c r="J42" s="501"/>
      <c r="K42" s="410">
        <f>ROUND(I42*$K$35,2)</f>
        <v>247.27</v>
      </c>
      <c r="M42" s="535"/>
      <c r="N42" s="536"/>
      <c r="O42" s="536"/>
      <c r="P42" s="536"/>
      <c r="Q42" s="536"/>
      <c r="R42" s="536"/>
      <c r="S42" s="536"/>
      <c r="T42" s="537"/>
    </row>
    <row r="43" spans="1:11" ht="17.25" customHeight="1">
      <c r="A43" s="455" t="s">
        <v>27</v>
      </c>
      <c r="B43" s="455"/>
      <c r="C43" s="455"/>
      <c r="D43" s="455"/>
      <c r="E43" s="455"/>
      <c r="F43" s="455"/>
      <c r="G43" s="455"/>
      <c r="H43" s="455"/>
      <c r="I43" s="497">
        <f>SUM(I40:J42)</f>
        <v>0.19440000000000002</v>
      </c>
      <c r="J43" s="497"/>
      <c r="K43" s="226">
        <f>ROUND(SUM(K40:K42),2)</f>
        <v>577.06</v>
      </c>
    </row>
    <row r="44" spans="1:11" ht="6.75" customHeight="1">
      <c r="A44" s="476"/>
      <c r="B44" s="476"/>
      <c r="C44" s="476"/>
      <c r="D44" s="476"/>
      <c r="E44" s="476"/>
      <c r="F44" s="476"/>
      <c r="G44" s="476"/>
      <c r="H44" s="476"/>
      <c r="I44" s="476"/>
      <c r="J44" s="476"/>
      <c r="K44" s="476"/>
    </row>
    <row r="45" spans="1:11" ht="17.25" customHeight="1">
      <c r="A45" s="455" t="s">
        <v>28</v>
      </c>
      <c r="B45" s="455"/>
      <c r="C45" s="455"/>
      <c r="D45" s="455"/>
      <c r="E45" s="455"/>
      <c r="F45" s="455"/>
      <c r="G45" s="455"/>
      <c r="H45" s="455"/>
      <c r="I45" s="455"/>
      <c r="J45" s="455"/>
      <c r="K45" s="455"/>
    </row>
    <row r="46" spans="1:11" ht="17.25" customHeight="1">
      <c r="A46" s="500" t="s">
        <v>68</v>
      </c>
      <c r="B46" s="500"/>
      <c r="C46" s="500"/>
      <c r="D46" s="500"/>
      <c r="E46" s="500"/>
      <c r="F46" s="500"/>
      <c r="G46" s="500"/>
      <c r="H46" s="500"/>
      <c r="I46" s="500"/>
      <c r="J46" s="500"/>
      <c r="K46" s="226">
        <f>K35</f>
        <v>2968.37</v>
      </c>
    </row>
    <row r="47" spans="1:11" ht="17.25" customHeight="1">
      <c r="A47" s="499" t="s">
        <v>79</v>
      </c>
      <c r="B47" s="499"/>
      <c r="C47" s="499"/>
      <c r="D47" s="499"/>
      <c r="E47" s="499"/>
      <c r="F47" s="499"/>
      <c r="G47" s="499"/>
      <c r="H47" s="499"/>
      <c r="I47" s="499"/>
      <c r="J47" s="499"/>
      <c r="K47" s="226">
        <f>K43</f>
        <v>577.06</v>
      </c>
    </row>
    <row r="48" spans="1:11" ht="17.25" customHeight="1">
      <c r="A48" s="499" t="s">
        <v>80</v>
      </c>
      <c r="B48" s="499"/>
      <c r="C48" s="499"/>
      <c r="D48" s="499"/>
      <c r="E48" s="499"/>
      <c r="F48" s="499"/>
      <c r="G48" s="499"/>
      <c r="H48" s="499"/>
      <c r="I48" s="499"/>
      <c r="J48" s="499"/>
      <c r="K48" s="226">
        <f>SUM(K46:K47)</f>
        <v>3545.43</v>
      </c>
    </row>
    <row r="49" spans="1:20" s="119" customFormat="1" ht="17.25" customHeight="1">
      <c r="A49" s="498"/>
      <c r="B49" s="498"/>
      <c r="C49" s="498"/>
      <c r="D49" s="498"/>
      <c r="E49" s="498"/>
      <c r="F49" s="498"/>
      <c r="G49" s="498"/>
      <c r="H49" s="498"/>
      <c r="I49" s="458" t="s">
        <v>25</v>
      </c>
      <c r="J49" s="458"/>
      <c r="K49" s="398" t="s">
        <v>20</v>
      </c>
      <c r="M49" s="120"/>
      <c r="N49" s="120"/>
      <c r="O49" s="120"/>
      <c r="P49" s="120"/>
      <c r="Q49" s="120"/>
      <c r="R49" s="120"/>
      <c r="S49" s="116"/>
      <c r="T49" s="116"/>
    </row>
    <row r="50" spans="1:11" ht="17.25" customHeight="1">
      <c r="A50" s="401" t="s">
        <v>1</v>
      </c>
      <c r="B50" s="465" t="s">
        <v>144</v>
      </c>
      <c r="C50" s="465"/>
      <c r="D50" s="465"/>
      <c r="E50" s="465"/>
      <c r="F50" s="465"/>
      <c r="G50" s="465"/>
      <c r="H50" s="465"/>
      <c r="I50" s="464">
        <v>0.2</v>
      </c>
      <c r="J50" s="464"/>
      <c r="K50" s="405">
        <f>ROUND(I50*$K$48,2)</f>
        <v>709.09</v>
      </c>
    </row>
    <row r="51" spans="1:11" ht="17.25" customHeight="1">
      <c r="A51" s="401" t="s">
        <v>3</v>
      </c>
      <c r="B51" s="465" t="s">
        <v>145</v>
      </c>
      <c r="C51" s="465"/>
      <c r="D51" s="465"/>
      <c r="E51" s="465"/>
      <c r="F51" s="465"/>
      <c r="G51" s="465"/>
      <c r="H51" s="465"/>
      <c r="I51" s="464">
        <v>0.025</v>
      </c>
      <c r="J51" s="464"/>
      <c r="K51" s="405">
        <f>ROUND(I51*$K$48,2)</f>
        <v>88.64</v>
      </c>
    </row>
    <row r="52" spans="1:20" ht="17.25" customHeight="1">
      <c r="A52" s="493" t="s">
        <v>5</v>
      </c>
      <c r="B52" s="527" t="s">
        <v>146</v>
      </c>
      <c r="C52" s="527"/>
      <c r="D52" s="527"/>
      <c r="E52" s="527"/>
      <c r="F52" s="527"/>
      <c r="G52" s="227" t="s">
        <v>118</v>
      </c>
      <c r="H52" s="227" t="s">
        <v>119</v>
      </c>
      <c r="I52" s="501">
        <f>(G53*H53)*100</f>
        <v>0.03</v>
      </c>
      <c r="J52" s="501"/>
      <c r="K52" s="492">
        <f>ROUND(I52*K48,2)</f>
        <v>106.36</v>
      </c>
      <c r="M52" s="484" t="s">
        <v>260</v>
      </c>
      <c r="N52" s="485"/>
      <c r="O52" s="485"/>
      <c r="P52" s="485"/>
      <c r="Q52" s="485"/>
      <c r="R52" s="485"/>
      <c r="S52" s="485"/>
      <c r="T52" s="486"/>
    </row>
    <row r="53" spans="1:20" ht="17.25" customHeight="1">
      <c r="A53" s="493"/>
      <c r="B53" s="527"/>
      <c r="C53" s="527"/>
      <c r="D53" s="527"/>
      <c r="E53" s="527"/>
      <c r="F53" s="527"/>
      <c r="G53" s="408">
        <v>0.03</v>
      </c>
      <c r="H53" s="408">
        <v>0.01</v>
      </c>
      <c r="I53" s="501"/>
      <c r="J53" s="501"/>
      <c r="K53" s="492"/>
      <c r="M53" s="487"/>
      <c r="N53" s="488"/>
      <c r="O53" s="488"/>
      <c r="P53" s="488"/>
      <c r="Q53" s="488"/>
      <c r="R53" s="488"/>
      <c r="S53" s="488"/>
      <c r="T53" s="489"/>
    </row>
    <row r="54" spans="1:11" ht="17.25" customHeight="1">
      <c r="A54" s="401" t="s">
        <v>6</v>
      </c>
      <c r="B54" s="465" t="s">
        <v>147</v>
      </c>
      <c r="C54" s="465"/>
      <c r="D54" s="465"/>
      <c r="E54" s="465"/>
      <c r="F54" s="465"/>
      <c r="G54" s="465"/>
      <c r="H54" s="465"/>
      <c r="I54" s="464">
        <v>0.015</v>
      </c>
      <c r="J54" s="464"/>
      <c r="K54" s="405">
        <f>ROUND(I54*$K$48,2)</f>
        <v>53.18</v>
      </c>
    </row>
    <row r="55" spans="1:11" ht="17.25" customHeight="1">
      <c r="A55" s="401" t="s">
        <v>8</v>
      </c>
      <c r="B55" s="465" t="s">
        <v>148</v>
      </c>
      <c r="C55" s="465"/>
      <c r="D55" s="465"/>
      <c r="E55" s="465"/>
      <c r="F55" s="465"/>
      <c r="G55" s="465"/>
      <c r="H55" s="465"/>
      <c r="I55" s="464">
        <v>0.01</v>
      </c>
      <c r="J55" s="464"/>
      <c r="K55" s="405">
        <f>ROUND(I55*$K$48,2)</f>
        <v>35.45</v>
      </c>
    </row>
    <row r="56" spans="1:11" ht="17.25" customHeight="1">
      <c r="A56" s="401" t="s">
        <v>10</v>
      </c>
      <c r="B56" s="465" t="s">
        <v>149</v>
      </c>
      <c r="C56" s="465"/>
      <c r="D56" s="465"/>
      <c r="E56" s="465"/>
      <c r="F56" s="465"/>
      <c r="G56" s="465"/>
      <c r="H56" s="465"/>
      <c r="I56" s="464">
        <v>0.006</v>
      </c>
      <c r="J56" s="464"/>
      <c r="K56" s="405">
        <f>ROUND(I56*$K$48,2)</f>
        <v>21.27</v>
      </c>
    </row>
    <row r="57" spans="1:11" ht="17.25" customHeight="1">
      <c r="A57" s="401" t="s">
        <v>11</v>
      </c>
      <c r="B57" s="465" t="s">
        <v>150</v>
      </c>
      <c r="C57" s="465"/>
      <c r="D57" s="465"/>
      <c r="E57" s="465"/>
      <c r="F57" s="465"/>
      <c r="G57" s="465"/>
      <c r="H57" s="465"/>
      <c r="I57" s="464">
        <v>0.002</v>
      </c>
      <c r="J57" s="464"/>
      <c r="K57" s="405">
        <f>ROUND(I57*$K$48,2)</f>
        <v>7.09</v>
      </c>
    </row>
    <row r="58" spans="1:11" ht="17.25" customHeight="1">
      <c r="A58" s="401" t="s">
        <v>12</v>
      </c>
      <c r="B58" s="465" t="s">
        <v>151</v>
      </c>
      <c r="C58" s="465"/>
      <c r="D58" s="465"/>
      <c r="E58" s="465"/>
      <c r="F58" s="465"/>
      <c r="G58" s="465"/>
      <c r="H58" s="465"/>
      <c r="I58" s="464">
        <v>0.08</v>
      </c>
      <c r="J58" s="464"/>
      <c r="K58" s="405">
        <f>ROUND(I58*$K$48,2)</f>
        <v>283.63</v>
      </c>
    </row>
    <row r="59" spans="1:11" ht="17.25" customHeight="1">
      <c r="A59" s="455" t="s">
        <v>29</v>
      </c>
      <c r="B59" s="455"/>
      <c r="C59" s="455"/>
      <c r="D59" s="455"/>
      <c r="E59" s="455"/>
      <c r="F59" s="455"/>
      <c r="G59" s="455"/>
      <c r="H59" s="455"/>
      <c r="I59" s="497">
        <f>SUM(I50:J58)</f>
        <v>0.36800000000000005</v>
      </c>
      <c r="J59" s="497"/>
      <c r="K59" s="226">
        <f>ROUND(SUM(K50:K58),2)</f>
        <v>1304.71</v>
      </c>
    </row>
    <row r="60" spans="1:11" ht="5.25" customHeight="1">
      <c r="A60" s="463"/>
      <c r="B60" s="463"/>
      <c r="C60" s="463"/>
      <c r="D60" s="463"/>
      <c r="E60" s="463"/>
      <c r="F60" s="463"/>
      <c r="G60" s="463"/>
      <c r="H60" s="463"/>
      <c r="I60" s="463"/>
      <c r="J60" s="463"/>
      <c r="K60" s="463"/>
    </row>
    <row r="61" spans="1:20" ht="17.25" customHeight="1">
      <c r="A61" s="455" t="s">
        <v>30</v>
      </c>
      <c r="B61" s="455"/>
      <c r="C61" s="455"/>
      <c r="D61" s="455"/>
      <c r="E61" s="455"/>
      <c r="F61" s="455"/>
      <c r="G61" s="455"/>
      <c r="H61" s="455"/>
      <c r="I61" s="455"/>
      <c r="J61" s="455"/>
      <c r="K61" s="455"/>
      <c r="M61" s="504" t="s">
        <v>155</v>
      </c>
      <c r="N61" s="505"/>
      <c r="O61" s="505"/>
      <c r="P61" s="505"/>
      <c r="Q61" s="505"/>
      <c r="R61" s="505"/>
      <c r="S61" s="505"/>
      <c r="T61" s="506"/>
    </row>
    <row r="62" spans="1:20" ht="17.25" customHeight="1">
      <c r="A62" s="480"/>
      <c r="B62" s="480"/>
      <c r="C62" s="480"/>
      <c r="D62" s="480"/>
      <c r="E62" s="480"/>
      <c r="F62" s="480"/>
      <c r="G62" s="480"/>
      <c r="H62" s="480"/>
      <c r="I62" s="480"/>
      <c r="J62" s="480"/>
      <c r="K62" s="398" t="s">
        <v>20</v>
      </c>
      <c r="M62" s="507"/>
      <c r="N62" s="508"/>
      <c r="O62" s="508"/>
      <c r="P62" s="508"/>
      <c r="Q62" s="508"/>
      <c r="R62" s="508"/>
      <c r="S62" s="508"/>
      <c r="T62" s="509"/>
    </row>
    <row r="63" spans="1:11" ht="17.25" customHeight="1">
      <c r="A63" s="451" t="s">
        <v>1</v>
      </c>
      <c r="B63" s="482" t="s">
        <v>128</v>
      </c>
      <c r="C63" s="482"/>
      <c r="D63" s="482"/>
      <c r="E63" s="482"/>
      <c r="F63" s="482"/>
      <c r="G63" s="494"/>
      <c r="H63" s="494"/>
      <c r="I63" s="494"/>
      <c r="J63" s="494"/>
      <c r="K63" s="471">
        <f>ROUND((B65*E65*F65)-G65,2)</f>
        <v>199.6</v>
      </c>
    </row>
    <row r="64" spans="1:11" ht="17.25" customHeight="1">
      <c r="A64" s="451"/>
      <c r="B64" s="495" t="s">
        <v>34</v>
      </c>
      <c r="C64" s="495"/>
      <c r="D64" s="495"/>
      <c r="E64" s="401" t="s">
        <v>32</v>
      </c>
      <c r="F64" s="407" t="s">
        <v>35</v>
      </c>
      <c r="G64" s="495" t="s">
        <v>139</v>
      </c>
      <c r="H64" s="495"/>
      <c r="I64" s="495"/>
      <c r="J64" s="495"/>
      <c r="K64" s="471"/>
    </row>
    <row r="65" spans="1:11" ht="17.25" customHeight="1">
      <c r="A65" s="451"/>
      <c r="B65" s="483">
        <v>2</v>
      </c>
      <c r="C65" s="483"/>
      <c r="D65" s="483"/>
      <c r="E65" s="243">
        <v>22</v>
      </c>
      <c r="F65" s="402">
        <v>7.65</v>
      </c>
      <c r="G65" s="471">
        <f>0.06*K26</f>
        <v>137.0016</v>
      </c>
      <c r="H65" s="471"/>
      <c r="I65" s="471"/>
      <c r="J65" s="471"/>
      <c r="K65" s="471"/>
    </row>
    <row r="66" spans="1:20" ht="17.25" customHeight="1">
      <c r="A66" s="451" t="s">
        <v>3</v>
      </c>
      <c r="B66" s="463" t="s">
        <v>81</v>
      </c>
      <c r="C66" s="463"/>
      <c r="D66" s="463"/>
      <c r="E66" s="463"/>
      <c r="F66" s="463"/>
      <c r="G66" s="494" t="s">
        <v>583</v>
      </c>
      <c r="H66" s="494"/>
      <c r="I66" s="494"/>
      <c r="J66" s="494"/>
      <c r="K66" s="471">
        <f>ROUND((B68-G68)*F68,2)</f>
        <v>576</v>
      </c>
      <c r="M66" s="510" t="s">
        <v>132</v>
      </c>
      <c r="N66" s="511"/>
      <c r="O66" s="511"/>
      <c r="P66" s="511"/>
      <c r="Q66" s="511"/>
      <c r="R66" s="511"/>
      <c r="S66" s="511"/>
      <c r="T66" s="512"/>
    </row>
    <row r="67" spans="1:20" ht="17.25" customHeight="1">
      <c r="A67" s="451"/>
      <c r="B67" s="451" t="s">
        <v>82</v>
      </c>
      <c r="C67" s="451"/>
      <c r="D67" s="451"/>
      <c r="E67" s="451"/>
      <c r="F67" s="401" t="s">
        <v>32</v>
      </c>
      <c r="G67" s="451" t="s">
        <v>131</v>
      </c>
      <c r="H67" s="451"/>
      <c r="I67" s="451"/>
      <c r="J67" s="451"/>
      <c r="K67" s="471"/>
      <c r="M67" s="513"/>
      <c r="N67" s="514"/>
      <c r="O67" s="514"/>
      <c r="P67" s="514"/>
      <c r="Q67" s="514"/>
      <c r="R67" s="514"/>
      <c r="S67" s="514"/>
      <c r="T67" s="515"/>
    </row>
    <row r="68" spans="1:20" ht="17.25" customHeight="1">
      <c r="A68" s="451"/>
      <c r="B68" s="496">
        <v>27.56</v>
      </c>
      <c r="C68" s="496"/>
      <c r="D68" s="496"/>
      <c r="E68" s="496"/>
      <c r="F68" s="243">
        <f>E65</f>
        <v>22</v>
      </c>
      <c r="G68" s="526">
        <f>B68*5%</f>
        <v>1.3780000000000001</v>
      </c>
      <c r="H68" s="526"/>
      <c r="I68" s="526"/>
      <c r="J68" s="526"/>
      <c r="K68" s="471"/>
      <c r="M68" s="516"/>
      <c r="N68" s="517"/>
      <c r="O68" s="517"/>
      <c r="P68" s="517"/>
      <c r="Q68" s="517"/>
      <c r="R68" s="517"/>
      <c r="S68" s="517"/>
      <c r="T68" s="518"/>
    </row>
    <row r="69" spans="1:11" ht="17.25" customHeight="1">
      <c r="A69" s="451" t="s">
        <v>5</v>
      </c>
      <c r="B69" s="463" t="s">
        <v>31</v>
      </c>
      <c r="C69" s="463"/>
      <c r="D69" s="463"/>
      <c r="E69" s="463"/>
      <c r="F69" s="463"/>
      <c r="G69" s="494" t="s">
        <v>583</v>
      </c>
      <c r="H69" s="494"/>
      <c r="I69" s="494"/>
      <c r="J69" s="494"/>
      <c r="K69" s="405"/>
    </row>
    <row r="70" spans="1:11" ht="17.25" customHeight="1">
      <c r="A70" s="451"/>
      <c r="B70" s="451" t="s">
        <v>82</v>
      </c>
      <c r="C70" s="451"/>
      <c r="D70" s="451"/>
      <c r="E70" s="451"/>
      <c r="F70" s="451"/>
      <c r="G70" s="451" t="s">
        <v>33</v>
      </c>
      <c r="H70" s="451"/>
      <c r="I70" s="451"/>
      <c r="J70" s="451"/>
      <c r="K70" s="471">
        <f>B71-G71</f>
        <v>0</v>
      </c>
    </row>
    <row r="71" spans="1:11" ht="17.25" customHeight="1">
      <c r="A71" s="451"/>
      <c r="B71" s="494"/>
      <c r="C71" s="494"/>
      <c r="D71" s="494"/>
      <c r="E71" s="494"/>
      <c r="F71" s="494"/>
      <c r="G71" s="494">
        <v>0</v>
      </c>
      <c r="H71" s="494"/>
      <c r="I71" s="494"/>
      <c r="J71" s="494"/>
      <c r="K71" s="471"/>
    </row>
    <row r="72" spans="1:11" ht="17.25" customHeight="1">
      <c r="A72" s="401" t="s">
        <v>6</v>
      </c>
      <c r="B72" s="526" t="s">
        <v>83</v>
      </c>
      <c r="C72" s="526"/>
      <c r="D72" s="526"/>
      <c r="E72" s="526"/>
      <c r="F72" s="526"/>
      <c r="G72" s="526"/>
      <c r="H72" s="526"/>
      <c r="I72" s="526"/>
      <c r="J72" s="526"/>
      <c r="K72" s="402"/>
    </row>
    <row r="73" spans="1:11" ht="17.25" customHeight="1">
      <c r="A73" s="455" t="s">
        <v>36</v>
      </c>
      <c r="B73" s="455"/>
      <c r="C73" s="455"/>
      <c r="D73" s="455"/>
      <c r="E73" s="455"/>
      <c r="F73" s="455"/>
      <c r="G73" s="455"/>
      <c r="H73" s="455"/>
      <c r="I73" s="455"/>
      <c r="J73" s="455"/>
      <c r="K73" s="226">
        <f>ROUND(SUM(K62:K72),2)</f>
        <v>775.6</v>
      </c>
    </row>
    <row r="74" spans="1:11" ht="17.25" customHeight="1">
      <c r="A74" s="458" t="s">
        <v>37</v>
      </c>
      <c r="B74" s="458"/>
      <c r="C74" s="458"/>
      <c r="D74" s="458"/>
      <c r="E74" s="458"/>
      <c r="F74" s="458"/>
      <c r="G74" s="458"/>
      <c r="H74" s="458"/>
      <c r="I74" s="458"/>
      <c r="J74" s="458"/>
      <c r="K74" s="224">
        <f>ROUND(SUM(K73,K59,K43),2)</f>
        <v>2657.37</v>
      </c>
    </row>
    <row r="75" spans="1:11" ht="6.75" customHeight="1">
      <c r="A75" s="457"/>
      <c r="B75" s="457"/>
      <c r="C75" s="457"/>
      <c r="D75" s="457"/>
      <c r="E75" s="457"/>
      <c r="F75" s="457"/>
      <c r="G75" s="457"/>
      <c r="H75" s="457"/>
      <c r="I75" s="457"/>
      <c r="J75" s="457"/>
      <c r="K75" s="457"/>
    </row>
    <row r="76" spans="1:20" ht="17.25" customHeight="1">
      <c r="A76" s="520" t="s">
        <v>38</v>
      </c>
      <c r="B76" s="520"/>
      <c r="C76" s="520"/>
      <c r="D76" s="520"/>
      <c r="E76" s="520"/>
      <c r="F76" s="520"/>
      <c r="G76" s="520"/>
      <c r="H76" s="520"/>
      <c r="I76" s="520"/>
      <c r="J76" s="520"/>
      <c r="K76" s="520"/>
      <c r="M76" s="479"/>
      <c r="N76" s="479"/>
      <c r="O76" s="479"/>
      <c r="P76" s="479"/>
      <c r="Q76" s="479"/>
      <c r="R76" s="479"/>
      <c r="S76" s="479"/>
      <c r="T76" s="479"/>
    </row>
    <row r="77" spans="1:20" ht="17.25" customHeight="1">
      <c r="A77" s="455" t="s">
        <v>250</v>
      </c>
      <c r="B77" s="455"/>
      <c r="C77" s="455"/>
      <c r="D77" s="455"/>
      <c r="E77" s="455"/>
      <c r="F77" s="455"/>
      <c r="G77" s="455"/>
      <c r="H77" s="455"/>
      <c r="I77" s="455"/>
      <c r="J77" s="455"/>
      <c r="K77" s="455"/>
      <c r="M77" s="479"/>
      <c r="N77" s="479"/>
      <c r="O77" s="479"/>
      <c r="P77" s="479"/>
      <c r="Q77" s="479"/>
      <c r="R77" s="479"/>
      <c r="S77" s="479"/>
      <c r="T77" s="479"/>
    </row>
    <row r="78" spans="1:20" ht="17.25" customHeight="1">
      <c r="A78" s="453" t="s">
        <v>68</v>
      </c>
      <c r="B78" s="453"/>
      <c r="C78" s="453"/>
      <c r="D78" s="453"/>
      <c r="E78" s="453"/>
      <c r="F78" s="453"/>
      <c r="G78" s="453"/>
      <c r="H78" s="453"/>
      <c r="I78" s="453"/>
      <c r="J78" s="453"/>
      <c r="K78" s="233">
        <f>K35</f>
        <v>2968.37</v>
      </c>
      <c r="M78" s="479"/>
      <c r="N78" s="479"/>
      <c r="O78" s="479"/>
      <c r="P78" s="479"/>
      <c r="Q78" s="479"/>
      <c r="R78" s="479"/>
      <c r="S78" s="479"/>
      <c r="T78" s="479"/>
    </row>
    <row r="79" spans="1:20" ht="17.25" customHeight="1">
      <c r="A79" s="453" t="s">
        <v>251</v>
      </c>
      <c r="B79" s="453"/>
      <c r="C79" s="453"/>
      <c r="D79" s="453"/>
      <c r="E79" s="453"/>
      <c r="F79" s="453"/>
      <c r="G79" s="453"/>
      <c r="H79" s="453"/>
      <c r="I79" s="453"/>
      <c r="J79" s="453"/>
      <c r="K79" s="233">
        <f>K43</f>
        <v>577.06</v>
      </c>
      <c r="M79" s="479"/>
      <c r="N79" s="479"/>
      <c r="O79" s="479"/>
      <c r="P79" s="479"/>
      <c r="Q79" s="479"/>
      <c r="R79" s="479"/>
      <c r="S79" s="479"/>
      <c r="T79" s="479"/>
    </row>
    <row r="80" spans="1:20" ht="17.25" customHeight="1">
      <c r="A80" s="453" t="s">
        <v>703</v>
      </c>
      <c r="B80" s="453"/>
      <c r="C80" s="453"/>
      <c r="D80" s="453"/>
      <c r="E80" s="453"/>
      <c r="F80" s="453"/>
      <c r="G80" s="453"/>
      <c r="H80" s="453"/>
      <c r="I80" s="453"/>
      <c r="J80" s="453"/>
      <c r="K80" s="233">
        <f>K58</f>
        <v>283.63</v>
      </c>
      <c r="M80" s="479"/>
      <c r="N80" s="479"/>
      <c r="O80" s="479"/>
      <c r="P80" s="479"/>
      <c r="Q80" s="479"/>
      <c r="R80" s="479"/>
      <c r="S80" s="479"/>
      <c r="T80" s="479"/>
    </row>
    <row r="81" spans="1:20" ht="17.25" customHeight="1">
      <c r="A81" s="453" t="s">
        <v>30</v>
      </c>
      <c r="B81" s="453"/>
      <c r="C81" s="453"/>
      <c r="D81" s="453"/>
      <c r="E81" s="453"/>
      <c r="F81" s="453"/>
      <c r="G81" s="453"/>
      <c r="H81" s="453"/>
      <c r="I81" s="453"/>
      <c r="J81" s="453"/>
      <c r="K81" s="233">
        <f>K73</f>
        <v>775.6</v>
      </c>
      <c r="M81" s="479"/>
      <c r="N81" s="479"/>
      <c r="O81" s="479"/>
      <c r="P81" s="479"/>
      <c r="Q81" s="479"/>
      <c r="R81" s="479"/>
      <c r="S81" s="479"/>
      <c r="T81" s="479"/>
    </row>
    <row r="82" spans="1:20" ht="17.25" customHeight="1">
      <c r="A82" s="453" t="s">
        <v>704</v>
      </c>
      <c r="B82" s="453"/>
      <c r="C82" s="453"/>
      <c r="D82" s="453"/>
      <c r="E82" s="453"/>
      <c r="F82" s="453"/>
      <c r="G82" s="453"/>
      <c r="H82" s="453"/>
      <c r="I82" s="453"/>
      <c r="J82" s="453"/>
      <c r="K82" s="233">
        <f>SUM(K78:K81)</f>
        <v>4604.66</v>
      </c>
      <c r="M82" s="479"/>
      <c r="N82" s="479"/>
      <c r="O82" s="479"/>
      <c r="P82" s="479"/>
      <c r="Q82" s="479"/>
      <c r="R82" s="479"/>
      <c r="S82" s="479"/>
      <c r="T82" s="479"/>
    </row>
    <row r="83" spans="1:20" ht="17.25" customHeight="1">
      <c r="A83" s="453" t="s">
        <v>252</v>
      </c>
      <c r="B83" s="453"/>
      <c r="C83" s="453"/>
      <c r="D83" s="453"/>
      <c r="E83" s="453"/>
      <c r="F83" s="453"/>
      <c r="G83" s="453"/>
      <c r="H83" s="453"/>
      <c r="I83" s="453"/>
      <c r="J83" s="453"/>
      <c r="K83" s="233">
        <f>ROUND(K82/12,2)</f>
        <v>383.72</v>
      </c>
      <c r="M83" s="479"/>
      <c r="N83" s="479"/>
      <c r="O83" s="479"/>
      <c r="P83" s="479"/>
      <c r="Q83" s="479"/>
      <c r="R83" s="479"/>
      <c r="S83" s="479"/>
      <c r="T83" s="479"/>
    </row>
    <row r="84" spans="1:20" ht="17.25" customHeight="1">
      <c r="A84" s="453" t="s">
        <v>705</v>
      </c>
      <c r="B84" s="453"/>
      <c r="C84" s="453"/>
      <c r="D84" s="453"/>
      <c r="E84" s="453"/>
      <c r="F84" s="453"/>
      <c r="G84" s="453"/>
      <c r="H84" s="453"/>
      <c r="I84" s="453"/>
      <c r="J84" s="453"/>
      <c r="K84" s="233">
        <f>ROUND(K80*40%,2)</f>
        <v>113.45</v>
      </c>
      <c r="M84" s="479"/>
      <c r="N84" s="479"/>
      <c r="O84" s="479"/>
      <c r="P84" s="479"/>
      <c r="Q84" s="479"/>
      <c r="R84" s="479"/>
      <c r="S84" s="479"/>
      <c r="T84" s="479"/>
    </row>
    <row r="85" spans="1:20" ht="17.25" customHeight="1">
      <c r="A85" s="451" t="s">
        <v>253</v>
      </c>
      <c r="B85" s="451"/>
      <c r="C85" s="451"/>
      <c r="D85" s="451"/>
      <c r="E85" s="451"/>
      <c r="F85" s="451"/>
      <c r="G85" s="451"/>
      <c r="H85" s="451"/>
      <c r="I85" s="451"/>
      <c r="J85" s="451"/>
      <c r="K85" s="405">
        <f>ROUND(K83+K84,2)</f>
        <v>497.17</v>
      </c>
      <c r="M85" s="479"/>
      <c r="N85" s="479"/>
      <c r="O85" s="479"/>
      <c r="P85" s="479"/>
      <c r="Q85" s="479"/>
      <c r="R85" s="479"/>
      <c r="S85" s="479"/>
      <c r="T85" s="479"/>
    </row>
    <row r="86" spans="1:20" ht="17.25" customHeight="1">
      <c r="A86" s="451" t="s">
        <v>256</v>
      </c>
      <c r="B86" s="451"/>
      <c r="C86" s="451"/>
      <c r="D86" s="451"/>
      <c r="E86" s="451"/>
      <c r="F86" s="451"/>
      <c r="G86" s="451"/>
      <c r="H86" s="463" t="s">
        <v>254</v>
      </c>
      <c r="I86" s="463"/>
      <c r="J86" s="463"/>
      <c r="K86" s="234" t="s">
        <v>255</v>
      </c>
      <c r="M86" s="479"/>
      <c r="N86" s="479"/>
      <c r="O86" s="479"/>
      <c r="P86" s="479"/>
      <c r="Q86" s="479"/>
      <c r="R86" s="479"/>
      <c r="S86" s="479"/>
      <c r="T86" s="479"/>
    </row>
    <row r="87" spans="1:20" ht="17.25" customHeight="1">
      <c r="A87" s="451"/>
      <c r="B87" s="451"/>
      <c r="C87" s="451"/>
      <c r="D87" s="451"/>
      <c r="E87" s="451"/>
      <c r="F87" s="451"/>
      <c r="G87" s="451"/>
      <c r="H87" s="464">
        <v>0.5</v>
      </c>
      <c r="I87" s="464"/>
      <c r="J87" s="464"/>
      <c r="K87" s="405">
        <f>ROUND(H87*K85,2)</f>
        <v>248.59</v>
      </c>
      <c r="M87" s="479"/>
      <c r="N87" s="479"/>
      <c r="O87" s="479"/>
      <c r="P87" s="479"/>
      <c r="Q87" s="479"/>
      <c r="R87" s="479"/>
      <c r="S87" s="479"/>
      <c r="T87" s="479"/>
    </row>
    <row r="88" spans="1:20" ht="17.25" customHeight="1">
      <c r="A88" s="455" t="s">
        <v>706</v>
      </c>
      <c r="B88" s="455"/>
      <c r="C88" s="455"/>
      <c r="D88" s="455"/>
      <c r="E88" s="455"/>
      <c r="F88" s="455"/>
      <c r="G88" s="455"/>
      <c r="H88" s="455"/>
      <c r="I88" s="455"/>
      <c r="J88" s="455"/>
      <c r="K88" s="226">
        <f>ROUND(K87,2)</f>
        <v>248.59</v>
      </c>
      <c r="M88" s="479"/>
      <c r="N88" s="479"/>
      <c r="O88" s="479"/>
      <c r="P88" s="479"/>
      <c r="Q88" s="479"/>
      <c r="R88" s="479"/>
      <c r="S88" s="479"/>
      <c r="T88" s="479"/>
    </row>
    <row r="89" spans="1:20" ht="17.25" customHeight="1">
      <c r="A89" s="459" t="s">
        <v>257</v>
      </c>
      <c r="B89" s="459"/>
      <c r="C89" s="459"/>
      <c r="D89" s="459"/>
      <c r="E89" s="459"/>
      <c r="F89" s="459"/>
      <c r="G89" s="459"/>
      <c r="H89" s="459"/>
      <c r="I89" s="459"/>
      <c r="J89" s="459"/>
      <c r="K89" s="459"/>
      <c r="M89" s="479"/>
      <c r="N89" s="479"/>
      <c r="O89" s="479"/>
      <c r="P89" s="479"/>
      <c r="Q89" s="479"/>
      <c r="R89" s="479"/>
      <c r="S89" s="479"/>
      <c r="T89" s="479"/>
    </row>
    <row r="90" spans="1:20" ht="17.25" customHeight="1">
      <c r="A90" s="453" t="s">
        <v>705</v>
      </c>
      <c r="B90" s="453"/>
      <c r="C90" s="453"/>
      <c r="D90" s="453"/>
      <c r="E90" s="453"/>
      <c r="F90" s="453"/>
      <c r="G90" s="453"/>
      <c r="H90" s="453"/>
      <c r="I90" s="453"/>
      <c r="J90" s="453"/>
      <c r="K90" s="233">
        <f>ROUND(K80*40%,2)</f>
        <v>113.45</v>
      </c>
      <c r="M90" s="479"/>
      <c r="N90" s="479"/>
      <c r="O90" s="479"/>
      <c r="P90" s="479"/>
      <c r="Q90" s="479"/>
      <c r="R90" s="479"/>
      <c r="S90" s="479"/>
      <c r="T90" s="479"/>
    </row>
    <row r="91" spans="1:20" ht="17.25" customHeight="1">
      <c r="A91" s="451" t="s">
        <v>258</v>
      </c>
      <c r="B91" s="451"/>
      <c r="C91" s="451"/>
      <c r="D91" s="451"/>
      <c r="E91" s="451"/>
      <c r="F91" s="451"/>
      <c r="G91" s="451"/>
      <c r="H91" s="451"/>
      <c r="I91" s="451"/>
      <c r="J91" s="451"/>
      <c r="K91" s="405">
        <f>K90</f>
        <v>113.45</v>
      </c>
      <c r="M91" s="479"/>
      <c r="N91" s="479"/>
      <c r="O91" s="479"/>
      <c r="P91" s="479"/>
      <c r="Q91" s="479"/>
      <c r="R91" s="479"/>
      <c r="S91" s="479"/>
      <c r="T91" s="479"/>
    </row>
    <row r="92" spans="1:20" ht="17.25" customHeight="1">
      <c r="A92" s="451" t="s">
        <v>259</v>
      </c>
      <c r="B92" s="451"/>
      <c r="C92" s="451"/>
      <c r="D92" s="451"/>
      <c r="E92" s="451"/>
      <c r="F92" s="451"/>
      <c r="G92" s="451"/>
      <c r="H92" s="463" t="s">
        <v>254</v>
      </c>
      <c r="I92" s="463"/>
      <c r="J92" s="463"/>
      <c r="K92" s="234" t="s">
        <v>255</v>
      </c>
      <c r="M92" s="479"/>
      <c r="N92" s="479"/>
      <c r="O92" s="479"/>
      <c r="P92" s="479"/>
      <c r="Q92" s="479"/>
      <c r="R92" s="479"/>
      <c r="S92" s="479"/>
      <c r="T92" s="479"/>
    </row>
    <row r="93" spans="1:20" ht="17.25" customHeight="1">
      <c r="A93" s="451"/>
      <c r="B93" s="451"/>
      <c r="C93" s="451"/>
      <c r="D93" s="451"/>
      <c r="E93" s="451"/>
      <c r="F93" s="451"/>
      <c r="G93" s="451"/>
      <c r="H93" s="464">
        <v>0.5</v>
      </c>
      <c r="I93" s="464"/>
      <c r="J93" s="464"/>
      <c r="K93" s="405">
        <f>ROUND(H93*K91,2)</f>
        <v>56.73</v>
      </c>
      <c r="M93" s="479"/>
      <c r="N93" s="479"/>
      <c r="O93" s="479"/>
      <c r="P93" s="479"/>
      <c r="Q93" s="479"/>
      <c r="R93" s="479"/>
      <c r="S93" s="479"/>
      <c r="T93" s="479"/>
    </row>
    <row r="94" spans="1:20" ht="17.25" customHeight="1">
      <c r="A94" s="455" t="s">
        <v>707</v>
      </c>
      <c r="B94" s="455"/>
      <c r="C94" s="455"/>
      <c r="D94" s="455"/>
      <c r="E94" s="455"/>
      <c r="F94" s="455"/>
      <c r="G94" s="455"/>
      <c r="H94" s="455"/>
      <c r="I94" s="455"/>
      <c r="J94" s="455"/>
      <c r="K94" s="226">
        <f>ROUND(K93,2)</f>
        <v>56.73</v>
      </c>
      <c r="M94" s="479"/>
      <c r="N94" s="479"/>
      <c r="O94" s="479"/>
      <c r="P94" s="479"/>
      <c r="Q94" s="479"/>
      <c r="R94" s="479"/>
      <c r="S94" s="479"/>
      <c r="T94" s="479"/>
    </row>
    <row r="95" spans="1:20" ht="17.25" customHeight="1">
      <c r="A95" s="459" t="s">
        <v>733</v>
      </c>
      <c r="B95" s="459"/>
      <c r="C95" s="459"/>
      <c r="D95" s="459"/>
      <c r="E95" s="459"/>
      <c r="F95" s="459"/>
      <c r="G95" s="459"/>
      <c r="H95" s="459"/>
      <c r="I95" s="459"/>
      <c r="J95" s="459"/>
      <c r="K95" s="459"/>
      <c r="M95" s="479"/>
      <c r="N95" s="479"/>
      <c r="O95" s="479"/>
      <c r="P95" s="479"/>
      <c r="Q95" s="479"/>
      <c r="R95" s="479"/>
      <c r="S95" s="479"/>
      <c r="T95" s="479"/>
    </row>
    <row r="96" spans="1:20" ht="17.25" customHeight="1">
      <c r="A96" s="460" t="s">
        <v>735</v>
      </c>
      <c r="B96" s="460"/>
      <c r="C96" s="460"/>
      <c r="D96" s="460"/>
      <c r="E96" s="460"/>
      <c r="F96" s="460"/>
      <c r="G96" s="460"/>
      <c r="H96" s="460"/>
      <c r="I96" s="460"/>
      <c r="J96" s="460"/>
      <c r="K96" s="233">
        <f>K88+K94</f>
        <v>305.32</v>
      </c>
      <c r="M96" s="479"/>
      <c r="N96" s="479"/>
      <c r="O96" s="479"/>
      <c r="P96" s="479"/>
      <c r="Q96" s="479"/>
      <c r="R96" s="479"/>
      <c r="S96" s="479"/>
      <c r="T96" s="479"/>
    </row>
    <row r="97" spans="1:20" ht="17.25" customHeight="1">
      <c r="A97" s="460" t="s">
        <v>736</v>
      </c>
      <c r="B97" s="460"/>
      <c r="C97" s="460"/>
      <c r="D97" s="460"/>
      <c r="E97" s="460"/>
      <c r="F97" s="460"/>
      <c r="G97" s="460"/>
      <c r="H97" s="460"/>
      <c r="I97" s="460"/>
      <c r="J97" s="460"/>
      <c r="K97" s="233">
        <f>K96/10</f>
        <v>30.532</v>
      </c>
      <c r="M97" s="479"/>
      <c r="N97" s="479"/>
      <c r="O97" s="479"/>
      <c r="P97" s="479"/>
      <c r="Q97" s="479"/>
      <c r="R97" s="479"/>
      <c r="S97" s="479"/>
      <c r="T97" s="479"/>
    </row>
    <row r="98" spans="1:20" ht="30" customHeight="1">
      <c r="A98" s="451" t="s">
        <v>708</v>
      </c>
      <c r="B98" s="451"/>
      <c r="C98" s="451"/>
      <c r="D98" s="451"/>
      <c r="E98" s="451"/>
      <c r="F98" s="451"/>
      <c r="G98" s="451"/>
      <c r="H98" s="461" t="s">
        <v>709</v>
      </c>
      <c r="I98" s="461"/>
      <c r="J98" s="461"/>
      <c r="K98" s="234" t="s">
        <v>255</v>
      </c>
      <c r="M98" s="479"/>
      <c r="N98" s="479"/>
      <c r="O98" s="479"/>
      <c r="P98" s="479"/>
      <c r="Q98" s="479"/>
      <c r="R98" s="479"/>
      <c r="S98" s="479"/>
      <c r="T98" s="479"/>
    </row>
    <row r="99" spans="1:20" ht="17.25" customHeight="1">
      <c r="A99" s="451"/>
      <c r="B99" s="451"/>
      <c r="C99" s="451"/>
      <c r="D99" s="451"/>
      <c r="E99" s="451"/>
      <c r="F99" s="451"/>
      <c r="G99" s="451"/>
      <c r="H99" s="462">
        <v>0</v>
      </c>
      <c r="I99" s="462"/>
      <c r="J99" s="462"/>
      <c r="K99" s="405">
        <f>ROUND(3*K97*H99,2)</f>
        <v>0</v>
      </c>
      <c r="M99" s="479"/>
      <c r="N99" s="479"/>
      <c r="O99" s="479"/>
      <c r="P99" s="479"/>
      <c r="Q99" s="479"/>
      <c r="R99" s="479"/>
      <c r="S99" s="479"/>
      <c r="T99" s="479"/>
    </row>
    <row r="100" spans="1:20" ht="17.25" customHeight="1">
      <c r="A100" s="455" t="s">
        <v>710</v>
      </c>
      <c r="B100" s="455"/>
      <c r="C100" s="455"/>
      <c r="D100" s="455"/>
      <c r="E100" s="455"/>
      <c r="F100" s="455"/>
      <c r="G100" s="455"/>
      <c r="H100" s="455"/>
      <c r="I100" s="455"/>
      <c r="J100" s="455"/>
      <c r="K100" s="226">
        <f>K99</f>
        <v>0</v>
      </c>
      <c r="M100" s="479"/>
      <c r="N100" s="479"/>
      <c r="O100" s="479"/>
      <c r="P100" s="479"/>
      <c r="Q100" s="479"/>
      <c r="R100" s="479"/>
      <c r="S100" s="479"/>
      <c r="T100" s="479"/>
    </row>
    <row r="101" spans="1:20" ht="17.25" customHeight="1">
      <c r="A101" s="456" t="s">
        <v>43</v>
      </c>
      <c r="B101" s="456"/>
      <c r="C101" s="456"/>
      <c r="D101" s="456"/>
      <c r="E101" s="456"/>
      <c r="F101" s="456"/>
      <c r="G101" s="456"/>
      <c r="H101" s="456"/>
      <c r="I101" s="456"/>
      <c r="J101" s="456"/>
      <c r="K101" s="235">
        <f>K88+K94+K100</f>
        <v>305.32</v>
      </c>
      <c r="M101" s="479"/>
      <c r="N101" s="479"/>
      <c r="O101" s="479"/>
      <c r="P101" s="479"/>
      <c r="Q101" s="479"/>
      <c r="R101" s="479"/>
      <c r="S101" s="479"/>
      <c r="T101" s="479"/>
    </row>
    <row r="102" spans="1:20" ht="9.75" customHeight="1">
      <c r="A102" s="457"/>
      <c r="B102" s="457"/>
      <c r="C102" s="457"/>
      <c r="D102" s="457"/>
      <c r="E102" s="457"/>
      <c r="F102" s="457"/>
      <c r="G102" s="457"/>
      <c r="H102" s="457"/>
      <c r="I102" s="457"/>
      <c r="J102" s="457"/>
      <c r="K102" s="457"/>
      <c r="M102" s="479"/>
      <c r="N102" s="479"/>
      <c r="O102" s="479"/>
      <c r="P102" s="479"/>
      <c r="Q102" s="479"/>
      <c r="R102" s="479"/>
      <c r="S102" s="479"/>
      <c r="T102" s="479"/>
    </row>
    <row r="103" spans="1:20" ht="17.25" customHeight="1">
      <c r="A103" s="458" t="s">
        <v>44</v>
      </c>
      <c r="B103" s="458"/>
      <c r="C103" s="458"/>
      <c r="D103" s="458"/>
      <c r="E103" s="458"/>
      <c r="F103" s="458"/>
      <c r="G103" s="458"/>
      <c r="H103" s="458"/>
      <c r="I103" s="458"/>
      <c r="J103" s="458"/>
      <c r="K103" s="458"/>
      <c r="M103" s="479"/>
      <c r="N103" s="479"/>
      <c r="O103" s="479"/>
      <c r="P103" s="479"/>
      <c r="Q103" s="479"/>
      <c r="R103" s="479"/>
      <c r="S103" s="479"/>
      <c r="T103" s="479"/>
    </row>
    <row r="104" spans="1:20" ht="17.25" customHeight="1">
      <c r="A104" s="455" t="s">
        <v>85</v>
      </c>
      <c r="B104" s="455"/>
      <c r="C104" s="455"/>
      <c r="D104" s="455"/>
      <c r="E104" s="455"/>
      <c r="F104" s="455"/>
      <c r="G104" s="455"/>
      <c r="H104" s="455"/>
      <c r="I104" s="455"/>
      <c r="J104" s="455"/>
      <c r="K104" s="455"/>
      <c r="M104" s="479"/>
      <c r="N104" s="479"/>
      <c r="O104" s="479"/>
      <c r="P104" s="479"/>
      <c r="Q104" s="479"/>
      <c r="R104" s="479"/>
      <c r="S104" s="479"/>
      <c r="T104" s="479"/>
    </row>
    <row r="105" spans="1:20" ht="17.25" customHeight="1">
      <c r="A105" s="455" t="s">
        <v>711</v>
      </c>
      <c r="B105" s="455"/>
      <c r="C105" s="455"/>
      <c r="D105" s="455"/>
      <c r="E105" s="455"/>
      <c r="F105" s="455"/>
      <c r="G105" s="455"/>
      <c r="H105" s="455"/>
      <c r="I105" s="455"/>
      <c r="J105" s="455"/>
      <c r="K105" s="455"/>
      <c r="M105" s="479"/>
      <c r="N105" s="479"/>
      <c r="O105" s="479"/>
      <c r="P105" s="479"/>
      <c r="Q105" s="479"/>
      <c r="R105" s="479"/>
      <c r="S105" s="479"/>
      <c r="T105" s="479"/>
    </row>
    <row r="106" spans="1:20" ht="39.75" customHeight="1">
      <c r="A106" s="455" t="s">
        <v>712</v>
      </c>
      <c r="B106" s="455"/>
      <c r="C106" s="455"/>
      <c r="D106" s="455"/>
      <c r="E106" s="455"/>
      <c r="F106" s="399" t="s">
        <v>713</v>
      </c>
      <c r="G106" s="236" t="s">
        <v>714</v>
      </c>
      <c r="H106" s="455" t="s">
        <v>715</v>
      </c>
      <c r="I106" s="455"/>
      <c r="J106" s="455"/>
      <c r="K106" s="399" t="s">
        <v>716</v>
      </c>
      <c r="M106" s="479"/>
      <c r="N106" s="479"/>
      <c r="O106" s="479"/>
      <c r="P106" s="479"/>
      <c r="Q106" s="479"/>
      <c r="R106" s="479"/>
      <c r="S106" s="479"/>
      <c r="T106" s="479"/>
    </row>
    <row r="107" spans="1:20" ht="17.25" customHeight="1">
      <c r="A107" s="451" t="s">
        <v>717</v>
      </c>
      <c r="B107" s="451"/>
      <c r="C107" s="451"/>
      <c r="D107" s="451"/>
      <c r="E107" s="451"/>
      <c r="F107" s="244">
        <v>1</v>
      </c>
      <c r="G107" s="401">
        <v>30</v>
      </c>
      <c r="H107" s="452">
        <f>255/365</f>
        <v>0.6986301369863014</v>
      </c>
      <c r="I107" s="452"/>
      <c r="J107" s="452"/>
      <c r="K107" s="237">
        <f>ROUND(F107*G107*H107,4)</f>
        <v>20.9589</v>
      </c>
      <c r="M107" s="479"/>
      <c r="N107" s="479"/>
      <c r="O107" s="479"/>
      <c r="P107" s="479"/>
      <c r="Q107" s="479"/>
      <c r="R107" s="479"/>
      <c r="S107" s="479"/>
      <c r="T107" s="479"/>
    </row>
    <row r="108" spans="1:20" ht="17.25" customHeight="1">
      <c r="A108" s="451" t="s">
        <v>718</v>
      </c>
      <c r="B108" s="451"/>
      <c r="C108" s="451"/>
      <c r="D108" s="451"/>
      <c r="E108" s="451"/>
      <c r="F108" s="244">
        <v>1</v>
      </c>
      <c r="G108" s="401">
        <v>1</v>
      </c>
      <c r="H108" s="452">
        <v>1</v>
      </c>
      <c r="I108" s="452"/>
      <c r="J108" s="452"/>
      <c r="K108" s="237">
        <f aca="true" t="shared" si="0" ref="K108:K118">ROUND(F108*G108*H108,4)</f>
        <v>1</v>
      </c>
      <c r="M108" s="479"/>
      <c r="N108" s="479"/>
      <c r="O108" s="479"/>
      <c r="P108" s="479"/>
      <c r="Q108" s="479"/>
      <c r="R108" s="479"/>
      <c r="S108" s="479"/>
      <c r="T108" s="479"/>
    </row>
    <row r="109" spans="1:20" ht="17.25" customHeight="1">
      <c r="A109" s="451" t="s">
        <v>719</v>
      </c>
      <c r="B109" s="451"/>
      <c r="C109" s="451"/>
      <c r="D109" s="451"/>
      <c r="E109" s="451"/>
      <c r="F109" s="244">
        <v>0.0922</v>
      </c>
      <c r="G109" s="401">
        <v>15</v>
      </c>
      <c r="H109" s="452">
        <f>255/365</f>
        <v>0.6986301369863014</v>
      </c>
      <c r="I109" s="452"/>
      <c r="J109" s="452"/>
      <c r="K109" s="237">
        <f t="shared" si="0"/>
        <v>0.9662</v>
      </c>
      <c r="M109" s="479"/>
      <c r="N109" s="479"/>
      <c r="O109" s="479"/>
      <c r="P109" s="479"/>
      <c r="Q109" s="479"/>
      <c r="R109" s="479"/>
      <c r="S109" s="479"/>
      <c r="T109" s="479"/>
    </row>
    <row r="110" spans="1:20" ht="17.25" customHeight="1">
      <c r="A110" s="451" t="s">
        <v>720</v>
      </c>
      <c r="B110" s="451"/>
      <c r="C110" s="451"/>
      <c r="D110" s="451"/>
      <c r="E110" s="451"/>
      <c r="F110" s="244">
        <v>1</v>
      </c>
      <c r="G110" s="401">
        <v>5</v>
      </c>
      <c r="H110" s="452">
        <f>255/365</f>
        <v>0.6986301369863014</v>
      </c>
      <c r="I110" s="452"/>
      <c r="J110" s="452"/>
      <c r="K110" s="237">
        <f t="shared" si="0"/>
        <v>3.4932</v>
      </c>
      <c r="M110" s="479"/>
      <c r="N110" s="479"/>
      <c r="O110" s="479"/>
      <c r="P110" s="479"/>
      <c r="Q110" s="479"/>
      <c r="R110" s="479"/>
      <c r="S110" s="479"/>
      <c r="T110" s="479"/>
    </row>
    <row r="111" spans="1:20" ht="17.25" customHeight="1">
      <c r="A111" s="451" t="s">
        <v>721</v>
      </c>
      <c r="B111" s="451"/>
      <c r="C111" s="451"/>
      <c r="D111" s="451"/>
      <c r="E111" s="451"/>
      <c r="F111" s="244">
        <v>0.1344</v>
      </c>
      <c r="G111" s="401">
        <v>2</v>
      </c>
      <c r="H111" s="452">
        <v>1</v>
      </c>
      <c r="I111" s="452"/>
      <c r="J111" s="452"/>
      <c r="K111" s="237">
        <f t="shared" si="0"/>
        <v>0.2688</v>
      </c>
      <c r="M111" s="479"/>
      <c r="N111" s="479"/>
      <c r="O111" s="479"/>
      <c r="P111" s="479"/>
      <c r="Q111" s="479"/>
      <c r="R111" s="479"/>
      <c r="S111" s="479"/>
      <c r="T111" s="479"/>
    </row>
    <row r="112" spans="1:20" ht="17.25" customHeight="1">
      <c r="A112" s="451" t="s">
        <v>722</v>
      </c>
      <c r="B112" s="451"/>
      <c r="C112" s="451"/>
      <c r="D112" s="451"/>
      <c r="E112" s="451"/>
      <c r="F112" s="244">
        <v>0.0305</v>
      </c>
      <c r="G112" s="401">
        <v>2</v>
      </c>
      <c r="H112" s="452">
        <f>255/365</f>
        <v>0.6986301369863014</v>
      </c>
      <c r="I112" s="452"/>
      <c r="J112" s="452"/>
      <c r="K112" s="237">
        <f t="shared" si="0"/>
        <v>0.0426</v>
      </c>
      <c r="M112" s="479"/>
      <c r="N112" s="479"/>
      <c r="O112" s="479"/>
      <c r="P112" s="479"/>
      <c r="Q112" s="479"/>
      <c r="R112" s="479"/>
      <c r="S112" s="479"/>
      <c r="T112" s="479"/>
    </row>
    <row r="113" spans="1:20" ht="17.25" customHeight="1">
      <c r="A113" s="451" t="s">
        <v>723</v>
      </c>
      <c r="B113" s="451"/>
      <c r="C113" s="451"/>
      <c r="D113" s="451"/>
      <c r="E113" s="451"/>
      <c r="F113" s="244">
        <v>0.0118</v>
      </c>
      <c r="G113" s="401">
        <v>3</v>
      </c>
      <c r="H113" s="452">
        <v>1</v>
      </c>
      <c r="I113" s="452"/>
      <c r="J113" s="452"/>
      <c r="K113" s="237">
        <f t="shared" si="0"/>
        <v>0.0354</v>
      </c>
      <c r="M113" s="479"/>
      <c r="N113" s="479"/>
      <c r="O113" s="479"/>
      <c r="P113" s="479"/>
      <c r="Q113" s="479"/>
      <c r="R113" s="479"/>
      <c r="S113" s="479"/>
      <c r="T113" s="479"/>
    </row>
    <row r="114" spans="1:20" ht="17.25" customHeight="1">
      <c r="A114" s="451" t="s">
        <v>724</v>
      </c>
      <c r="B114" s="451"/>
      <c r="C114" s="451"/>
      <c r="D114" s="451"/>
      <c r="E114" s="451"/>
      <c r="F114" s="244">
        <v>0.02</v>
      </c>
      <c r="G114" s="401">
        <v>1</v>
      </c>
      <c r="H114" s="452">
        <v>1</v>
      </c>
      <c r="I114" s="452"/>
      <c r="J114" s="452"/>
      <c r="K114" s="237">
        <f t="shared" si="0"/>
        <v>0.02</v>
      </c>
      <c r="M114" s="479"/>
      <c r="N114" s="479"/>
      <c r="O114" s="479"/>
      <c r="P114" s="479"/>
      <c r="Q114" s="479"/>
      <c r="R114" s="479"/>
      <c r="S114" s="479"/>
      <c r="T114" s="479"/>
    </row>
    <row r="115" spans="1:20" ht="17.25" customHeight="1">
      <c r="A115" s="451" t="s">
        <v>725</v>
      </c>
      <c r="B115" s="451"/>
      <c r="C115" s="451"/>
      <c r="D115" s="451"/>
      <c r="E115" s="451"/>
      <c r="F115" s="244">
        <v>0.004</v>
      </c>
      <c r="G115" s="401">
        <v>1</v>
      </c>
      <c r="H115" s="452">
        <v>1</v>
      </c>
      <c r="I115" s="452"/>
      <c r="J115" s="452"/>
      <c r="K115" s="237">
        <f t="shared" si="0"/>
        <v>0.004</v>
      </c>
      <c r="M115" s="479"/>
      <c r="N115" s="479"/>
      <c r="O115" s="479"/>
      <c r="P115" s="479"/>
      <c r="Q115" s="479"/>
      <c r="R115" s="479"/>
      <c r="S115" s="479"/>
      <c r="T115" s="479"/>
    </row>
    <row r="116" spans="1:20" ht="17.25" customHeight="1">
      <c r="A116" s="451" t="s">
        <v>726</v>
      </c>
      <c r="B116" s="451"/>
      <c r="C116" s="451"/>
      <c r="D116" s="451"/>
      <c r="E116" s="451"/>
      <c r="F116" s="244">
        <v>0.0143</v>
      </c>
      <c r="G116" s="401">
        <v>20</v>
      </c>
      <c r="H116" s="452">
        <f>255/365</f>
        <v>0.6986301369863014</v>
      </c>
      <c r="I116" s="452"/>
      <c r="J116" s="452"/>
      <c r="K116" s="237">
        <f t="shared" si="0"/>
        <v>0.1998</v>
      </c>
      <c r="M116" s="479"/>
      <c r="N116" s="479"/>
      <c r="O116" s="479"/>
      <c r="P116" s="479"/>
      <c r="Q116" s="479"/>
      <c r="R116" s="479"/>
      <c r="S116" s="479"/>
      <c r="T116" s="479"/>
    </row>
    <row r="117" spans="1:20" ht="17.25" customHeight="1">
      <c r="A117" s="451" t="s">
        <v>727</v>
      </c>
      <c r="B117" s="451"/>
      <c r="C117" s="451"/>
      <c r="D117" s="451"/>
      <c r="E117" s="451"/>
      <c r="F117" s="244">
        <v>0.0197</v>
      </c>
      <c r="G117" s="401">
        <v>180</v>
      </c>
      <c r="H117" s="452">
        <f>255/365</f>
        <v>0.6986301369863014</v>
      </c>
      <c r="I117" s="452"/>
      <c r="J117" s="452"/>
      <c r="K117" s="237">
        <f t="shared" si="0"/>
        <v>2.4773</v>
      </c>
      <c r="M117" s="479"/>
      <c r="N117" s="479"/>
      <c r="O117" s="479"/>
      <c r="P117" s="479"/>
      <c r="Q117" s="479"/>
      <c r="R117" s="479"/>
      <c r="S117" s="479"/>
      <c r="T117" s="479"/>
    </row>
    <row r="118" spans="1:20" ht="17.25" customHeight="1">
      <c r="A118" s="451" t="s">
        <v>728</v>
      </c>
      <c r="B118" s="451"/>
      <c r="C118" s="451"/>
      <c r="D118" s="451"/>
      <c r="E118" s="451"/>
      <c r="F118" s="244">
        <v>0.0016</v>
      </c>
      <c r="G118" s="401">
        <v>6</v>
      </c>
      <c r="H118" s="452">
        <v>1</v>
      </c>
      <c r="I118" s="452"/>
      <c r="J118" s="452"/>
      <c r="K118" s="237">
        <f t="shared" si="0"/>
        <v>0.0096</v>
      </c>
      <c r="M118" s="479"/>
      <c r="N118" s="479"/>
      <c r="O118" s="479"/>
      <c r="P118" s="479"/>
      <c r="Q118" s="479"/>
      <c r="R118" s="479"/>
      <c r="S118" s="479"/>
      <c r="T118" s="479"/>
    </row>
    <row r="119" spans="1:20" ht="17.25" customHeight="1">
      <c r="A119" s="454" t="s">
        <v>729</v>
      </c>
      <c r="B119" s="454"/>
      <c r="C119" s="454"/>
      <c r="D119" s="454"/>
      <c r="E119" s="454"/>
      <c r="F119" s="454"/>
      <c r="G119" s="454"/>
      <c r="H119" s="454"/>
      <c r="I119" s="454"/>
      <c r="J119" s="454"/>
      <c r="K119" s="238">
        <f>ROUND(SUM(K107:K118),0)</f>
        <v>29</v>
      </c>
      <c r="M119" s="479"/>
      <c r="N119" s="479"/>
      <c r="O119" s="479"/>
      <c r="P119" s="479"/>
      <c r="Q119" s="479"/>
      <c r="R119" s="479"/>
      <c r="S119" s="479"/>
      <c r="T119" s="479"/>
    </row>
    <row r="120" spans="1:20" ht="17.25" customHeight="1">
      <c r="A120" s="453" t="s">
        <v>68</v>
      </c>
      <c r="B120" s="453"/>
      <c r="C120" s="453"/>
      <c r="D120" s="453"/>
      <c r="E120" s="453"/>
      <c r="F120" s="453"/>
      <c r="G120" s="453"/>
      <c r="H120" s="453"/>
      <c r="I120" s="453"/>
      <c r="J120" s="453"/>
      <c r="K120" s="233">
        <f>K35</f>
        <v>2968.37</v>
      </c>
      <c r="M120" s="479"/>
      <c r="N120" s="479"/>
      <c r="O120" s="479"/>
      <c r="P120" s="479"/>
      <c r="Q120" s="479"/>
      <c r="R120" s="479"/>
      <c r="S120" s="479"/>
      <c r="T120" s="479"/>
    </row>
    <row r="121" spans="1:20" ht="17.25" customHeight="1">
      <c r="A121" s="453" t="s">
        <v>69</v>
      </c>
      <c r="B121" s="453"/>
      <c r="C121" s="453"/>
      <c r="D121" s="453"/>
      <c r="E121" s="453"/>
      <c r="F121" s="453"/>
      <c r="G121" s="453"/>
      <c r="H121" s="453"/>
      <c r="I121" s="453"/>
      <c r="J121" s="453"/>
      <c r="K121" s="233">
        <f>K74</f>
        <v>2657.37</v>
      </c>
      <c r="M121" s="479"/>
      <c r="N121" s="479"/>
      <c r="O121" s="479"/>
      <c r="P121" s="479"/>
      <c r="Q121" s="479"/>
      <c r="R121" s="479"/>
      <c r="S121" s="479"/>
      <c r="T121" s="479"/>
    </row>
    <row r="122" spans="1:20" ht="17.25" customHeight="1">
      <c r="A122" s="453" t="s">
        <v>70</v>
      </c>
      <c r="B122" s="453"/>
      <c r="C122" s="453"/>
      <c r="D122" s="453"/>
      <c r="E122" s="453"/>
      <c r="F122" s="453"/>
      <c r="G122" s="453"/>
      <c r="H122" s="453"/>
      <c r="I122" s="453"/>
      <c r="J122" s="453"/>
      <c r="K122" s="233">
        <f>K101</f>
        <v>305.32</v>
      </c>
      <c r="M122" s="479"/>
      <c r="N122" s="479"/>
      <c r="O122" s="479"/>
      <c r="P122" s="479"/>
      <c r="Q122" s="479"/>
      <c r="R122" s="479"/>
      <c r="S122" s="479"/>
      <c r="T122" s="479"/>
    </row>
    <row r="123" spans="1:20" ht="17.25" customHeight="1">
      <c r="A123" s="453" t="s">
        <v>261</v>
      </c>
      <c r="B123" s="453"/>
      <c r="C123" s="453"/>
      <c r="D123" s="453"/>
      <c r="E123" s="453"/>
      <c r="F123" s="453"/>
      <c r="G123" s="453"/>
      <c r="H123" s="453"/>
      <c r="I123" s="453"/>
      <c r="J123" s="453"/>
      <c r="K123" s="233">
        <f>K120+K121+K122</f>
        <v>5931.0599999999995</v>
      </c>
      <c r="M123" s="479"/>
      <c r="N123" s="479"/>
      <c r="O123" s="479"/>
      <c r="P123" s="479"/>
      <c r="Q123" s="479"/>
      <c r="R123" s="479"/>
      <c r="S123" s="479"/>
      <c r="T123" s="479"/>
    </row>
    <row r="124" spans="1:20" ht="17.25" customHeight="1">
      <c r="A124" s="453" t="s">
        <v>730</v>
      </c>
      <c r="B124" s="453"/>
      <c r="C124" s="453"/>
      <c r="D124" s="453"/>
      <c r="E124" s="453"/>
      <c r="F124" s="453"/>
      <c r="G124" s="453"/>
      <c r="H124" s="453"/>
      <c r="I124" s="453"/>
      <c r="J124" s="453"/>
      <c r="K124" s="239">
        <f>ROUND(K123/30,2)</f>
        <v>197.7</v>
      </c>
      <c r="M124" s="479"/>
      <c r="N124" s="479"/>
      <c r="O124" s="479"/>
      <c r="P124" s="479"/>
      <c r="Q124" s="479"/>
      <c r="R124" s="479"/>
      <c r="S124" s="479"/>
      <c r="T124" s="479"/>
    </row>
    <row r="125" spans="1:20" ht="17.25" customHeight="1">
      <c r="A125" s="453" t="s">
        <v>731</v>
      </c>
      <c r="B125" s="453"/>
      <c r="C125" s="453"/>
      <c r="D125" s="453"/>
      <c r="E125" s="453"/>
      <c r="F125" s="453"/>
      <c r="G125" s="453"/>
      <c r="H125" s="453"/>
      <c r="I125" s="453"/>
      <c r="J125" s="453"/>
      <c r="K125" s="239">
        <f>ROUND(K124*K119,2)</f>
        <v>5733.3</v>
      </c>
      <c r="M125" s="479"/>
      <c r="N125" s="479"/>
      <c r="O125" s="479"/>
      <c r="P125" s="479"/>
      <c r="Q125" s="479"/>
      <c r="R125" s="479"/>
      <c r="S125" s="479"/>
      <c r="T125" s="479"/>
    </row>
    <row r="126" spans="1:20" ht="17.25" customHeight="1">
      <c r="A126" s="453" t="s">
        <v>732</v>
      </c>
      <c r="B126" s="453"/>
      <c r="C126" s="453"/>
      <c r="D126" s="453"/>
      <c r="E126" s="453"/>
      <c r="F126" s="453"/>
      <c r="G126" s="453"/>
      <c r="H126" s="453"/>
      <c r="I126" s="453"/>
      <c r="J126" s="453"/>
      <c r="K126" s="239">
        <f>ROUND(K125/12,2)</f>
        <v>477.78</v>
      </c>
      <c r="M126" s="479"/>
      <c r="N126" s="479"/>
      <c r="O126" s="479"/>
      <c r="P126" s="479"/>
      <c r="Q126" s="479"/>
      <c r="R126" s="479"/>
      <c r="S126" s="479"/>
      <c r="T126" s="479"/>
    </row>
    <row r="127" spans="1:20" ht="17.25" customHeight="1">
      <c r="A127" s="455" t="s">
        <v>49</v>
      </c>
      <c r="B127" s="455"/>
      <c r="C127" s="455"/>
      <c r="D127" s="455"/>
      <c r="E127" s="455"/>
      <c r="F127" s="455"/>
      <c r="G127" s="455"/>
      <c r="H127" s="455"/>
      <c r="I127" s="455"/>
      <c r="J127" s="455"/>
      <c r="K127" s="226">
        <f>K126</f>
        <v>477.78</v>
      </c>
      <c r="M127" s="479"/>
      <c r="N127" s="479"/>
      <c r="O127" s="479"/>
      <c r="P127" s="479"/>
      <c r="Q127" s="479"/>
      <c r="R127" s="479"/>
      <c r="S127" s="479"/>
      <c r="T127" s="479"/>
    </row>
    <row r="128" spans="1:20" s="119" customFormat="1" ht="5.25" customHeight="1">
      <c r="A128" s="482"/>
      <c r="B128" s="482"/>
      <c r="C128" s="482"/>
      <c r="D128" s="482"/>
      <c r="E128" s="482"/>
      <c r="F128" s="482"/>
      <c r="G128" s="482"/>
      <c r="H128" s="482"/>
      <c r="I128" s="482"/>
      <c r="J128" s="482"/>
      <c r="K128" s="482"/>
      <c r="M128" s="116"/>
      <c r="N128" s="116"/>
      <c r="O128" s="116"/>
      <c r="P128" s="116"/>
      <c r="Q128" s="116"/>
      <c r="R128" s="116"/>
      <c r="S128" s="116"/>
      <c r="T128" s="116"/>
    </row>
    <row r="129" spans="1:11" ht="17.25" customHeight="1">
      <c r="A129" s="463" t="s">
        <v>92</v>
      </c>
      <c r="B129" s="463"/>
      <c r="C129" s="463"/>
      <c r="D129" s="463"/>
      <c r="E129" s="463"/>
      <c r="F129" s="463"/>
      <c r="G129" s="463"/>
      <c r="H129" s="463"/>
      <c r="I129" s="463"/>
      <c r="J129" s="463"/>
      <c r="K129" s="463"/>
    </row>
    <row r="130" spans="1:11" ht="17.25" customHeight="1">
      <c r="A130" s="480"/>
      <c r="B130" s="480"/>
      <c r="C130" s="480"/>
      <c r="D130" s="480"/>
      <c r="E130" s="480"/>
      <c r="F130" s="480"/>
      <c r="G130" s="480"/>
      <c r="H130" s="480"/>
      <c r="I130" s="480"/>
      <c r="J130" s="480"/>
      <c r="K130" s="398" t="s">
        <v>20</v>
      </c>
    </row>
    <row r="131" spans="1:11" ht="17.25" customHeight="1">
      <c r="A131" s="401" t="s">
        <v>1</v>
      </c>
      <c r="B131" s="465" t="s">
        <v>93</v>
      </c>
      <c r="C131" s="465"/>
      <c r="D131" s="465"/>
      <c r="E131" s="465"/>
      <c r="F131" s="465"/>
      <c r="G131" s="465"/>
      <c r="H131" s="465"/>
      <c r="I131" s="465"/>
      <c r="J131" s="465"/>
      <c r="K131" s="405">
        <v>0</v>
      </c>
    </row>
    <row r="132" spans="1:11" ht="17.25" customHeight="1">
      <c r="A132" s="455" t="s">
        <v>50</v>
      </c>
      <c r="B132" s="455"/>
      <c r="C132" s="455"/>
      <c r="D132" s="455"/>
      <c r="E132" s="455"/>
      <c r="F132" s="455"/>
      <c r="G132" s="455"/>
      <c r="H132" s="455"/>
      <c r="I132" s="455"/>
      <c r="J132" s="455"/>
      <c r="K132" s="226">
        <f>K131</f>
        <v>0</v>
      </c>
    </row>
    <row r="133" spans="1:11" ht="5.25" customHeight="1">
      <c r="A133" s="476"/>
      <c r="B133" s="476"/>
      <c r="C133" s="476"/>
      <c r="D133" s="476"/>
      <c r="E133" s="476"/>
      <c r="F133" s="476"/>
      <c r="G133" s="476"/>
      <c r="H133" s="476"/>
      <c r="I133" s="476"/>
      <c r="J133" s="476"/>
      <c r="K133" s="476"/>
    </row>
    <row r="134" spans="1:11" ht="17.25" customHeight="1">
      <c r="A134" s="458" t="s">
        <v>51</v>
      </c>
      <c r="B134" s="458"/>
      <c r="C134" s="458"/>
      <c r="D134" s="458"/>
      <c r="E134" s="458"/>
      <c r="F134" s="458"/>
      <c r="G134" s="458"/>
      <c r="H134" s="458"/>
      <c r="I134" s="458"/>
      <c r="J134" s="458"/>
      <c r="K134" s="224">
        <f>SUM(K127,K132)</f>
        <v>477.78</v>
      </c>
    </row>
    <row r="135" spans="1:11" ht="6.75" customHeight="1">
      <c r="A135" s="457"/>
      <c r="B135" s="457"/>
      <c r="C135" s="457"/>
      <c r="D135" s="457"/>
      <c r="E135" s="457"/>
      <c r="F135" s="457"/>
      <c r="G135" s="457"/>
      <c r="H135" s="457"/>
      <c r="I135" s="457"/>
      <c r="J135" s="457"/>
      <c r="K135" s="457"/>
    </row>
    <row r="136" spans="1:11" ht="17.25" customHeight="1">
      <c r="A136" s="458" t="s">
        <v>52</v>
      </c>
      <c r="B136" s="458"/>
      <c r="C136" s="458"/>
      <c r="D136" s="458"/>
      <c r="E136" s="458"/>
      <c r="F136" s="458"/>
      <c r="G136" s="458"/>
      <c r="H136" s="458"/>
      <c r="I136" s="458"/>
      <c r="J136" s="458"/>
      <c r="K136" s="458"/>
    </row>
    <row r="137" spans="1:11" ht="17.25" customHeight="1">
      <c r="A137" s="401" t="s">
        <v>1</v>
      </c>
      <c r="B137" s="465" t="s">
        <v>188</v>
      </c>
      <c r="C137" s="465"/>
      <c r="D137" s="465"/>
      <c r="E137" s="465"/>
      <c r="F137" s="465"/>
      <c r="G137" s="465"/>
      <c r="H137" s="465"/>
      <c r="I137" s="465"/>
      <c r="J137" s="465"/>
      <c r="K137" s="402">
        <f>Uniformes!H12</f>
        <v>142.65166666666667</v>
      </c>
    </row>
    <row r="138" spans="1:11" ht="17.25" customHeight="1">
      <c r="A138" s="401" t="s">
        <v>3</v>
      </c>
      <c r="B138" s="465" t="s">
        <v>310</v>
      </c>
      <c r="C138" s="465"/>
      <c r="D138" s="465"/>
      <c r="E138" s="465"/>
      <c r="F138" s="465"/>
      <c r="G138" s="465"/>
      <c r="H138" s="465"/>
      <c r="I138" s="465"/>
      <c r="J138" s="465"/>
      <c r="K138" s="402">
        <f>'EPI''s'!I18</f>
        <v>208.64499999999998</v>
      </c>
    </row>
    <row r="139" spans="1:11" ht="17.25" customHeight="1">
      <c r="A139" s="401" t="s">
        <v>5</v>
      </c>
      <c r="B139" s="465" t="s">
        <v>575</v>
      </c>
      <c r="C139" s="465"/>
      <c r="D139" s="465"/>
      <c r="E139" s="465"/>
      <c r="F139" s="465"/>
      <c r="G139" s="465"/>
      <c r="H139" s="465"/>
      <c r="I139" s="465"/>
      <c r="J139" s="465"/>
      <c r="K139" s="402">
        <f>Insumos!H68</f>
        <v>250.48077777777772</v>
      </c>
    </row>
    <row r="140" spans="1:11" ht="17.25" customHeight="1">
      <c r="A140" s="401" t="s">
        <v>6</v>
      </c>
      <c r="B140" s="465" t="s">
        <v>576</v>
      </c>
      <c r="C140" s="465"/>
      <c r="D140" s="465"/>
      <c r="E140" s="465"/>
      <c r="F140" s="465"/>
      <c r="G140" s="465"/>
      <c r="H140" s="465"/>
      <c r="I140" s="465"/>
      <c r="J140" s="465"/>
      <c r="K140" s="402">
        <f>Ferramentas!H150</f>
        <v>523.7745555555554</v>
      </c>
    </row>
    <row r="141" spans="1:11" ht="17.25" customHeight="1">
      <c r="A141" s="401" t="s">
        <v>8</v>
      </c>
      <c r="B141" s="465" t="s">
        <v>577</v>
      </c>
      <c r="C141" s="465"/>
      <c r="D141" s="465"/>
      <c r="E141" s="465"/>
      <c r="F141" s="465"/>
      <c r="G141" s="465"/>
      <c r="H141" s="465"/>
      <c r="I141" s="465"/>
      <c r="J141" s="465"/>
      <c r="K141" s="402">
        <f>Equipamentos!I26</f>
        <v>166.34</v>
      </c>
    </row>
    <row r="142" spans="1:16" ht="17.25" customHeight="1">
      <c r="A142" s="401" t="s">
        <v>10</v>
      </c>
      <c r="B142" s="491"/>
      <c r="C142" s="491"/>
      <c r="D142" s="491"/>
      <c r="E142" s="491"/>
      <c r="F142" s="491"/>
      <c r="G142" s="491"/>
      <c r="H142" s="491"/>
      <c r="I142" s="491"/>
      <c r="J142" s="491"/>
      <c r="K142" s="402"/>
      <c r="M142" s="218">
        <f>K139</f>
        <v>250.48077777777772</v>
      </c>
      <c r="N142" s="218">
        <f>K169-K168</f>
        <v>7700.73</v>
      </c>
      <c r="O142" s="219">
        <f>M142/N142</f>
        <v>0.03252688742207268</v>
      </c>
      <c r="P142" s="219">
        <f>O142*100</f>
        <v>3.252688742207268</v>
      </c>
    </row>
    <row r="143" spans="1:16" ht="17.25" customHeight="1">
      <c r="A143" s="458" t="s">
        <v>53</v>
      </c>
      <c r="B143" s="458"/>
      <c r="C143" s="458"/>
      <c r="D143" s="458"/>
      <c r="E143" s="458"/>
      <c r="F143" s="458"/>
      <c r="G143" s="458"/>
      <c r="H143" s="458"/>
      <c r="I143" s="458"/>
      <c r="J143" s="458"/>
      <c r="K143" s="228">
        <f>SUM(K137:K142)</f>
        <v>1291.8919999999996</v>
      </c>
      <c r="M143" s="219">
        <f>K139/K143</f>
        <v>0.19388677828934447</v>
      </c>
      <c r="N143" s="219"/>
      <c r="O143" s="219"/>
      <c r="P143" s="219"/>
    </row>
    <row r="144" spans="1:20" s="121" customFormat="1" ht="17.25" customHeight="1">
      <c r="A144" s="490"/>
      <c r="B144" s="490"/>
      <c r="C144" s="490"/>
      <c r="D144" s="490"/>
      <c r="E144" s="490"/>
      <c r="F144" s="490"/>
      <c r="G144" s="490"/>
      <c r="H144" s="490"/>
      <c r="I144" s="490"/>
      <c r="J144" s="490"/>
      <c r="K144" s="490"/>
      <c r="M144" s="116"/>
      <c r="N144" s="116"/>
      <c r="O144" s="116"/>
      <c r="P144" s="116"/>
      <c r="Q144" s="116"/>
      <c r="R144" s="116"/>
      <c r="S144" s="116"/>
      <c r="T144" s="116"/>
    </row>
    <row r="145" spans="1:13" ht="17.25" customHeight="1">
      <c r="A145" s="458" t="s">
        <v>94</v>
      </c>
      <c r="B145" s="458"/>
      <c r="C145" s="458"/>
      <c r="D145" s="458"/>
      <c r="E145" s="458"/>
      <c r="F145" s="458"/>
      <c r="G145" s="458"/>
      <c r="H145" s="458"/>
      <c r="I145" s="458"/>
      <c r="J145" s="458"/>
      <c r="K145" s="224">
        <f>SUM(K35,K74,K101,K134,K143)</f>
        <v>7700.731999999999</v>
      </c>
      <c r="M145" s="122"/>
    </row>
    <row r="146" spans="1:20" s="121" customFormat="1" ht="17.25" customHeight="1">
      <c r="A146" s="490"/>
      <c r="B146" s="490"/>
      <c r="C146" s="490"/>
      <c r="D146" s="490"/>
      <c r="E146" s="490"/>
      <c r="F146" s="490"/>
      <c r="G146" s="490"/>
      <c r="H146" s="490"/>
      <c r="I146" s="490"/>
      <c r="J146" s="490"/>
      <c r="K146" s="490"/>
      <c r="M146" s="116"/>
      <c r="N146" s="116"/>
      <c r="O146" s="116"/>
      <c r="P146" s="116"/>
      <c r="Q146" s="116"/>
      <c r="R146" s="116"/>
      <c r="S146" s="116"/>
      <c r="T146" s="116"/>
    </row>
    <row r="147" spans="1:11" ht="6.75" customHeight="1">
      <c r="A147" s="457"/>
      <c r="B147" s="457"/>
      <c r="C147" s="457"/>
      <c r="D147" s="457"/>
      <c r="E147" s="457"/>
      <c r="F147" s="457"/>
      <c r="G147" s="457"/>
      <c r="H147" s="457"/>
      <c r="I147" s="457"/>
      <c r="J147" s="457"/>
      <c r="K147" s="457"/>
    </row>
    <row r="148" spans="1:11" ht="17.25" customHeight="1">
      <c r="A148" s="458" t="s">
        <v>54</v>
      </c>
      <c r="B148" s="458"/>
      <c r="C148" s="458"/>
      <c r="D148" s="458"/>
      <c r="E148" s="458"/>
      <c r="F148" s="458"/>
      <c r="G148" s="458"/>
      <c r="H148" s="458"/>
      <c r="I148" s="458"/>
      <c r="J148" s="458"/>
      <c r="K148" s="458"/>
    </row>
    <row r="149" spans="1:11" ht="17.25" customHeight="1">
      <c r="A149" s="480"/>
      <c r="B149" s="480"/>
      <c r="C149" s="480"/>
      <c r="D149" s="480"/>
      <c r="E149" s="480"/>
      <c r="F149" s="480"/>
      <c r="G149" s="458" t="s">
        <v>25</v>
      </c>
      <c r="H149" s="458"/>
      <c r="I149" s="481" t="s">
        <v>55</v>
      </c>
      <c r="J149" s="481"/>
      <c r="K149" s="398" t="s">
        <v>20</v>
      </c>
    </row>
    <row r="150" spans="1:20" ht="17.25" customHeight="1">
      <c r="A150" s="401" t="s">
        <v>1</v>
      </c>
      <c r="B150" s="465" t="s">
        <v>56</v>
      </c>
      <c r="C150" s="465"/>
      <c r="D150" s="465"/>
      <c r="E150" s="465"/>
      <c r="F150" s="465"/>
      <c r="G150" s="478">
        <v>0.06</v>
      </c>
      <c r="H150" s="478"/>
      <c r="I150" s="471">
        <f>K145</f>
        <v>7700.731999999999</v>
      </c>
      <c r="J150" s="471"/>
      <c r="K150" s="405">
        <f>ROUND(I150*G150,2)</f>
        <v>462.04</v>
      </c>
      <c r="M150" s="479"/>
      <c r="N150" s="479"/>
      <c r="O150" s="479"/>
      <c r="P150" s="479"/>
      <c r="Q150" s="479"/>
      <c r="R150" s="479"/>
      <c r="S150" s="479"/>
      <c r="T150" s="479"/>
    </row>
    <row r="151" spans="1:20" ht="17.25" customHeight="1">
      <c r="A151" s="401" t="s">
        <v>3</v>
      </c>
      <c r="B151" s="465" t="s">
        <v>57</v>
      </c>
      <c r="C151" s="465"/>
      <c r="D151" s="465"/>
      <c r="E151" s="465"/>
      <c r="F151" s="465"/>
      <c r="G151" s="478">
        <v>0.072</v>
      </c>
      <c r="H151" s="478"/>
      <c r="I151" s="471">
        <f>I150+K150</f>
        <v>8162.771999999999</v>
      </c>
      <c r="J151" s="471"/>
      <c r="K151" s="405">
        <f>ROUND(I151*G151,2)</f>
        <v>587.72</v>
      </c>
      <c r="M151" s="479"/>
      <c r="N151" s="479"/>
      <c r="O151" s="479"/>
      <c r="P151" s="479"/>
      <c r="Q151" s="479"/>
      <c r="R151" s="479"/>
      <c r="S151" s="479"/>
      <c r="T151" s="479"/>
    </row>
    <row r="152" spans="1:20" ht="17.25" customHeight="1">
      <c r="A152" s="451" t="s">
        <v>5</v>
      </c>
      <c r="B152" s="451" t="s">
        <v>58</v>
      </c>
      <c r="C152" s="451"/>
      <c r="D152" s="451" t="s">
        <v>59</v>
      </c>
      <c r="E152" s="451"/>
      <c r="F152" s="401" t="s">
        <v>60</v>
      </c>
      <c r="G152" s="478">
        <v>0.0065</v>
      </c>
      <c r="H152" s="478"/>
      <c r="I152" s="471">
        <f>I151+K151</f>
        <v>8750.491999999998</v>
      </c>
      <c r="J152" s="471"/>
      <c r="K152" s="405">
        <f>ROUND(($I$152/(1-$G$159)*G152),2)</f>
        <v>62.26</v>
      </c>
      <c r="M152" s="470" t="s">
        <v>116</v>
      </c>
      <c r="N152" s="470"/>
      <c r="O152" s="470"/>
      <c r="P152" s="470"/>
      <c r="Q152" s="470"/>
      <c r="R152" s="470"/>
      <c r="S152" s="470"/>
      <c r="T152" s="470"/>
    </row>
    <row r="153" spans="1:20" ht="17.25" customHeight="1">
      <c r="A153" s="451"/>
      <c r="B153" s="451"/>
      <c r="C153" s="451"/>
      <c r="D153" s="451"/>
      <c r="E153" s="451"/>
      <c r="F153" s="401" t="s">
        <v>61</v>
      </c>
      <c r="G153" s="478">
        <v>0.03</v>
      </c>
      <c r="H153" s="478"/>
      <c r="I153" s="471"/>
      <c r="J153" s="471"/>
      <c r="K153" s="405">
        <f>ROUND(($I$152/(1-$G$159)*G153),2)</f>
        <v>287.37</v>
      </c>
      <c r="M153" s="467" t="s">
        <v>117</v>
      </c>
      <c r="N153" s="468"/>
      <c r="O153" s="468"/>
      <c r="P153" s="468"/>
      <c r="Q153" s="468"/>
      <c r="R153" s="468"/>
      <c r="S153" s="468"/>
      <c r="T153" s="469"/>
    </row>
    <row r="154" spans="1:20" ht="17.25" customHeight="1">
      <c r="A154" s="451"/>
      <c r="B154" s="451"/>
      <c r="C154" s="451"/>
      <c r="D154" s="451"/>
      <c r="E154" s="451"/>
      <c r="F154" s="409" t="s">
        <v>737</v>
      </c>
      <c r="G154" s="478"/>
      <c r="H154" s="478"/>
      <c r="I154" s="471"/>
      <c r="J154" s="471"/>
      <c r="K154" s="405">
        <f>ROUND(($I$152/(1-$G$159)*G154),2)</f>
        <v>0</v>
      </c>
      <c r="M154" s="467" t="s">
        <v>184</v>
      </c>
      <c r="N154" s="468"/>
      <c r="O154" s="468"/>
      <c r="P154" s="468"/>
      <c r="Q154" s="468"/>
      <c r="R154" s="468"/>
      <c r="S154" s="468"/>
      <c r="T154" s="469"/>
    </row>
    <row r="155" spans="1:11" ht="17.25" customHeight="1">
      <c r="A155" s="451"/>
      <c r="B155" s="451"/>
      <c r="C155" s="451"/>
      <c r="D155" s="451" t="s">
        <v>63</v>
      </c>
      <c r="E155" s="451"/>
      <c r="F155" s="401" t="s">
        <v>64</v>
      </c>
      <c r="G155" s="464">
        <v>0.05</v>
      </c>
      <c r="H155" s="464"/>
      <c r="I155" s="471"/>
      <c r="J155" s="471"/>
      <c r="K155" s="471">
        <f>ROUND(($I$152/(1-$G$159)*G155),2)</f>
        <v>478.95</v>
      </c>
    </row>
    <row r="156" spans="1:11" ht="17.25" customHeight="1">
      <c r="A156" s="451"/>
      <c r="B156" s="451"/>
      <c r="C156" s="451"/>
      <c r="D156" s="451"/>
      <c r="E156" s="451"/>
      <c r="F156" s="229" t="str">
        <f>K11</f>
        <v>São Paulo / SP</v>
      </c>
      <c r="G156" s="464"/>
      <c r="H156" s="464"/>
      <c r="I156" s="471"/>
      <c r="J156" s="471"/>
      <c r="K156" s="471"/>
    </row>
    <row r="157" spans="1:11" ht="17.25" customHeight="1">
      <c r="A157" s="451"/>
      <c r="B157" s="451"/>
      <c r="C157" s="451"/>
      <c r="D157" s="451"/>
      <c r="E157" s="451"/>
      <c r="F157" s="409" t="s">
        <v>62</v>
      </c>
      <c r="G157" s="478"/>
      <c r="H157" s="478"/>
      <c r="I157" s="471"/>
      <c r="J157" s="471"/>
      <c r="K157" s="405">
        <f>ROUND(($I$152/(1-$G$159)*G157),2)</f>
        <v>0</v>
      </c>
    </row>
    <row r="158" spans="1:11" ht="17.25" customHeight="1">
      <c r="A158" s="451"/>
      <c r="B158" s="451"/>
      <c r="C158" s="451"/>
      <c r="D158" s="483" t="s">
        <v>65</v>
      </c>
      <c r="E158" s="483"/>
      <c r="F158" s="409"/>
      <c r="G158" s="478"/>
      <c r="H158" s="478"/>
      <c r="I158" s="471"/>
      <c r="J158" s="471"/>
      <c r="K158" s="405">
        <f>ROUND(($I$152/(1-$G$159)*G158),2)</f>
        <v>0</v>
      </c>
    </row>
    <row r="159" spans="1:13" ht="17.25" customHeight="1">
      <c r="A159" s="451"/>
      <c r="B159" s="463" t="s">
        <v>66</v>
      </c>
      <c r="C159" s="463"/>
      <c r="D159" s="463"/>
      <c r="E159" s="463"/>
      <c r="F159" s="463"/>
      <c r="G159" s="474">
        <f>SUM(G152:H158)</f>
        <v>0.0865</v>
      </c>
      <c r="H159" s="474"/>
      <c r="I159" s="475"/>
      <c r="J159" s="475"/>
      <c r="K159" s="230"/>
      <c r="M159" s="123"/>
    </row>
    <row r="160" spans="1:11" ht="17.25" customHeight="1">
      <c r="A160" s="458" t="s">
        <v>67</v>
      </c>
      <c r="B160" s="458"/>
      <c r="C160" s="458"/>
      <c r="D160" s="458"/>
      <c r="E160" s="458"/>
      <c r="F160" s="458"/>
      <c r="G160" s="458"/>
      <c r="H160" s="458"/>
      <c r="I160" s="466">
        <f>((1+G150)*(1+G151))/(1-G159)-1</f>
        <v>0.24391899288451047</v>
      </c>
      <c r="J160" s="466"/>
      <c r="K160" s="224">
        <f>ROUND(SUM(K150:K158),2)</f>
        <v>1878.34</v>
      </c>
    </row>
    <row r="161" spans="1:11" ht="6" customHeight="1">
      <c r="A161" s="476"/>
      <c r="B161" s="476"/>
      <c r="C161" s="476"/>
      <c r="D161" s="476"/>
      <c r="E161" s="476"/>
      <c r="F161" s="476"/>
      <c r="G161" s="476"/>
      <c r="H161" s="476"/>
      <c r="I161" s="476"/>
      <c r="J161" s="476"/>
      <c r="K161" s="476"/>
    </row>
    <row r="162" spans="1:11" ht="19.5" customHeight="1">
      <c r="A162" s="472" t="s">
        <v>105</v>
      </c>
      <c r="B162" s="472"/>
      <c r="C162" s="472"/>
      <c r="D162" s="472"/>
      <c r="E162" s="472"/>
      <c r="F162" s="472"/>
      <c r="G162" s="472"/>
      <c r="H162" s="472"/>
      <c r="I162" s="472"/>
      <c r="J162" s="472"/>
      <c r="K162" s="412" t="s">
        <v>20</v>
      </c>
    </row>
    <row r="163" spans="1:11" ht="17.25" customHeight="1">
      <c r="A163" s="401" t="s">
        <v>1</v>
      </c>
      <c r="B163" s="465" t="s">
        <v>68</v>
      </c>
      <c r="C163" s="465"/>
      <c r="D163" s="465"/>
      <c r="E163" s="465"/>
      <c r="F163" s="465"/>
      <c r="G163" s="465"/>
      <c r="H163" s="465"/>
      <c r="I163" s="465"/>
      <c r="J163" s="465"/>
      <c r="K163" s="405">
        <f>K35</f>
        <v>2968.37</v>
      </c>
    </row>
    <row r="164" spans="1:11" ht="17.25" customHeight="1">
      <c r="A164" s="401" t="s">
        <v>3</v>
      </c>
      <c r="B164" s="465" t="s">
        <v>69</v>
      </c>
      <c r="C164" s="465"/>
      <c r="D164" s="465"/>
      <c r="E164" s="465"/>
      <c r="F164" s="465"/>
      <c r="G164" s="465"/>
      <c r="H164" s="465"/>
      <c r="I164" s="465"/>
      <c r="J164" s="465"/>
      <c r="K164" s="405">
        <f>K74</f>
        <v>2657.37</v>
      </c>
    </row>
    <row r="165" spans="1:11" ht="17.25" customHeight="1">
      <c r="A165" s="401" t="s">
        <v>5</v>
      </c>
      <c r="B165" s="465" t="s">
        <v>70</v>
      </c>
      <c r="C165" s="465"/>
      <c r="D165" s="465"/>
      <c r="E165" s="465"/>
      <c r="F165" s="465"/>
      <c r="G165" s="465"/>
      <c r="H165" s="465"/>
      <c r="I165" s="465"/>
      <c r="J165" s="465"/>
      <c r="K165" s="405">
        <f>K101</f>
        <v>305.32</v>
      </c>
    </row>
    <row r="166" spans="1:11" ht="17.25" customHeight="1">
      <c r="A166" s="401" t="s">
        <v>6</v>
      </c>
      <c r="B166" s="465" t="s">
        <v>71</v>
      </c>
      <c r="C166" s="465"/>
      <c r="D166" s="465"/>
      <c r="E166" s="465"/>
      <c r="F166" s="465"/>
      <c r="G166" s="465"/>
      <c r="H166" s="465"/>
      <c r="I166" s="465"/>
      <c r="J166" s="465"/>
      <c r="K166" s="405">
        <f>K134</f>
        <v>477.78</v>
      </c>
    </row>
    <row r="167" spans="1:11" ht="17.25" customHeight="1">
      <c r="A167" s="401" t="s">
        <v>8</v>
      </c>
      <c r="B167" s="465" t="s">
        <v>72</v>
      </c>
      <c r="C167" s="465"/>
      <c r="D167" s="465"/>
      <c r="E167" s="465"/>
      <c r="F167" s="465"/>
      <c r="G167" s="465"/>
      <c r="H167" s="465"/>
      <c r="I167" s="465"/>
      <c r="J167" s="465"/>
      <c r="K167" s="405">
        <f>K143</f>
        <v>1291.8919999999996</v>
      </c>
    </row>
    <row r="168" spans="1:11" ht="17.25" customHeight="1">
      <c r="A168" s="401" t="s">
        <v>10</v>
      </c>
      <c r="B168" s="465" t="s">
        <v>73</v>
      </c>
      <c r="C168" s="465"/>
      <c r="D168" s="465"/>
      <c r="E168" s="465"/>
      <c r="F168" s="465"/>
      <c r="G168" s="465"/>
      <c r="H168" s="465"/>
      <c r="I168" s="465"/>
      <c r="J168" s="465"/>
      <c r="K168" s="405">
        <f>K160</f>
        <v>1878.34</v>
      </c>
    </row>
    <row r="169" spans="1:11" ht="18" customHeight="1">
      <c r="A169" s="472" t="s">
        <v>74</v>
      </c>
      <c r="B169" s="472"/>
      <c r="C169" s="472"/>
      <c r="D169" s="472"/>
      <c r="E169" s="472"/>
      <c r="F169" s="472"/>
      <c r="G169" s="472"/>
      <c r="H169" s="472"/>
      <c r="I169" s="472"/>
      <c r="J169" s="472"/>
      <c r="K169" s="231">
        <f>ROUND(SUM(K163:K168),2)</f>
        <v>9579.07</v>
      </c>
    </row>
    <row r="170" spans="1:11" ht="6" customHeight="1">
      <c r="A170" s="473"/>
      <c r="B170" s="473"/>
      <c r="C170" s="473"/>
      <c r="D170" s="473"/>
      <c r="E170" s="473"/>
      <c r="F170" s="473"/>
      <c r="G170" s="473"/>
      <c r="H170" s="473"/>
      <c r="I170" s="473"/>
      <c r="J170" s="473"/>
      <c r="K170" s="473"/>
    </row>
    <row r="172" spans="1:11" ht="15">
      <c r="A172" s="477" t="s">
        <v>642</v>
      </c>
      <c r="B172" s="477"/>
      <c r="C172" s="477"/>
      <c r="D172" s="477"/>
      <c r="E172" s="477"/>
      <c r="F172" s="477"/>
      <c r="G172" s="477"/>
      <c r="H172" s="477"/>
      <c r="I172" s="477"/>
      <c r="J172" s="477"/>
      <c r="K172" s="477"/>
    </row>
  </sheetData>
  <sheetProtection password="CC3A" sheet="1" formatCells="0"/>
  <mergeCells count="257">
    <mergeCell ref="A37:K37"/>
    <mergeCell ref="A77:K77"/>
    <mergeCell ref="A78:J78"/>
    <mergeCell ref="A79:J79"/>
    <mergeCell ref="A80:J80"/>
    <mergeCell ref="M26:T26"/>
    <mergeCell ref="B71:F71"/>
    <mergeCell ref="B67:E67"/>
    <mergeCell ref="G70:J70"/>
    <mergeCell ref="G68:J68"/>
    <mergeCell ref="M40:T42"/>
    <mergeCell ref="B28:G28"/>
    <mergeCell ref="A38:K38"/>
    <mergeCell ref="B34:J34"/>
    <mergeCell ref="A43:H43"/>
    <mergeCell ref="B58:H58"/>
    <mergeCell ref="M31:T33"/>
    <mergeCell ref="I39:J39"/>
    <mergeCell ref="K31:K33"/>
    <mergeCell ref="H31:H32"/>
    <mergeCell ref="I31:J32"/>
    <mergeCell ref="A74:J74"/>
    <mergeCell ref="B70:F70"/>
    <mergeCell ref="B63:F63"/>
    <mergeCell ref="G63:J63"/>
    <mergeCell ref="I28:J28"/>
    <mergeCell ref="B57:H57"/>
    <mergeCell ref="B56:H56"/>
    <mergeCell ref="B50:H50"/>
    <mergeCell ref="I33:J33"/>
    <mergeCell ref="A39:H39"/>
    <mergeCell ref="I51:J51"/>
    <mergeCell ref="I52:J53"/>
    <mergeCell ref="B72:J72"/>
    <mergeCell ref="K66:K68"/>
    <mergeCell ref="B51:H51"/>
    <mergeCell ref="B52:F53"/>
    <mergeCell ref="B54:H54"/>
    <mergeCell ref="K63:K65"/>
    <mergeCell ref="A61:K61"/>
    <mergeCell ref="B66:F66"/>
    <mergeCell ref="A62:J62"/>
    <mergeCell ref="A63:A65"/>
    <mergeCell ref="B69:F69"/>
    <mergeCell ref="G67:J67"/>
    <mergeCell ref="A1:K1"/>
    <mergeCell ref="A2:K2"/>
    <mergeCell ref="A7:K7"/>
    <mergeCell ref="A6:C6"/>
    <mergeCell ref="B27:G27"/>
    <mergeCell ref="A3:C3"/>
    <mergeCell ref="A23:K23"/>
    <mergeCell ref="B21:J21"/>
    <mergeCell ref="B16:J16"/>
    <mergeCell ref="D6:K6"/>
    <mergeCell ref="D3:K3"/>
    <mergeCell ref="D5:K5"/>
    <mergeCell ref="B15:J15"/>
    <mergeCell ref="B14:J14"/>
    <mergeCell ref="B18:J18"/>
    <mergeCell ref="B17:J17"/>
    <mergeCell ref="A4:C4"/>
    <mergeCell ref="A5:C5"/>
    <mergeCell ref="B12:J12"/>
    <mergeCell ref="B13:J13"/>
    <mergeCell ref="A8:K8"/>
    <mergeCell ref="A9:K9"/>
    <mergeCell ref="B10:J10"/>
    <mergeCell ref="B11:J11"/>
    <mergeCell ref="D4:K4"/>
    <mergeCell ref="A25:J25"/>
    <mergeCell ref="B22:J22"/>
    <mergeCell ref="B19:J19"/>
    <mergeCell ref="B20:J20"/>
    <mergeCell ref="B29:G29"/>
    <mergeCell ref="B30:G30"/>
    <mergeCell ref="I26:J26"/>
    <mergeCell ref="A24:K24"/>
    <mergeCell ref="G153:H153"/>
    <mergeCell ref="A36:K36"/>
    <mergeCell ref="I27:J27"/>
    <mergeCell ref="B26:G26"/>
    <mergeCell ref="A31:A33"/>
    <mergeCell ref="B31:F33"/>
    <mergeCell ref="A76:K76"/>
    <mergeCell ref="A75:K75"/>
    <mergeCell ref="A73:J73"/>
    <mergeCell ref="B64:D64"/>
    <mergeCell ref="B55:H55"/>
    <mergeCell ref="I55:J55"/>
    <mergeCell ref="I29:J29"/>
    <mergeCell ref="I30:J30"/>
    <mergeCell ref="G31:G32"/>
    <mergeCell ref="B168:J168"/>
    <mergeCell ref="G157:H157"/>
    <mergeCell ref="B151:F151"/>
    <mergeCell ref="I151:J151"/>
    <mergeCell ref="B152:C158"/>
    <mergeCell ref="M76:T127"/>
    <mergeCell ref="M61:T62"/>
    <mergeCell ref="M66:T68"/>
    <mergeCell ref="H86:J86"/>
    <mergeCell ref="H87:J87"/>
    <mergeCell ref="A35:J35"/>
    <mergeCell ref="I56:J56"/>
    <mergeCell ref="G65:J65"/>
    <mergeCell ref="A66:A68"/>
    <mergeCell ref="G66:J66"/>
    <mergeCell ref="B40:H40"/>
    <mergeCell ref="I40:J40"/>
    <mergeCell ref="B42:H42"/>
    <mergeCell ref="I42:J42"/>
    <mergeCell ref="B41:H41"/>
    <mergeCell ref="I41:J41"/>
    <mergeCell ref="I43:J43"/>
    <mergeCell ref="A44:K44"/>
    <mergeCell ref="A45:K45"/>
    <mergeCell ref="A49:H49"/>
    <mergeCell ref="I49:J49"/>
    <mergeCell ref="A48:J48"/>
    <mergeCell ref="A47:J47"/>
    <mergeCell ref="A46:J46"/>
    <mergeCell ref="I50:J50"/>
    <mergeCell ref="A60:K60"/>
    <mergeCell ref="B68:E68"/>
    <mergeCell ref="G71:J71"/>
    <mergeCell ref="A59:H59"/>
    <mergeCell ref="I59:J59"/>
    <mergeCell ref="K70:K71"/>
    <mergeCell ref="I54:J54"/>
    <mergeCell ref="B65:D65"/>
    <mergeCell ref="I58:J58"/>
    <mergeCell ref="A144:K144"/>
    <mergeCell ref="A143:J143"/>
    <mergeCell ref="B138:J138"/>
    <mergeCell ref="B142:J142"/>
    <mergeCell ref="K52:K53"/>
    <mergeCell ref="A52:A53"/>
    <mergeCell ref="I57:J57"/>
    <mergeCell ref="G69:J69"/>
    <mergeCell ref="A69:A71"/>
    <mergeCell ref="G64:J64"/>
    <mergeCell ref="A129:K129"/>
    <mergeCell ref="B140:J140"/>
    <mergeCell ref="B141:J141"/>
    <mergeCell ref="B139:J139"/>
    <mergeCell ref="M52:T53"/>
    <mergeCell ref="G155:H156"/>
    <mergeCell ref="M153:T153"/>
    <mergeCell ref="I150:J150"/>
    <mergeCell ref="B150:F150"/>
    <mergeCell ref="A146:K146"/>
    <mergeCell ref="A128:K128"/>
    <mergeCell ref="A135:K135"/>
    <mergeCell ref="G149:H149"/>
    <mergeCell ref="B131:J131"/>
    <mergeCell ref="A152:A159"/>
    <mergeCell ref="D158:E158"/>
    <mergeCell ref="A130:J130"/>
    <mergeCell ref="A147:K147"/>
    <mergeCell ref="B137:J137"/>
    <mergeCell ref="A132:J132"/>
    <mergeCell ref="M150:T151"/>
    <mergeCell ref="G151:H151"/>
    <mergeCell ref="A136:K136"/>
    <mergeCell ref="A134:J134"/>
    <mergeCell ref="A133:K133"/>
    <mergeCell ref="G150:H150"/>
    <mergeCell ref="A148:K148"/>
    <mergeCell ref="A149:F149"/>
    <mergeCell ref="I149:J149"/>
    <mergeCell ref="A145:J145"/>
    <mergeCell ref="A172:K172"/>
    <mergeCell ref="G158:H158"/>
    <mergeCell ref="D152:E154"/>
    <mergeCell ref="G152:H152"/>
    <mergeCell ref="I152:J158"/>
    <mergeCell ref="D155:E157"/>
    <mergeCell ref="G154:H154"/>
    <mergeCell ref="B163:J163"/>
    <mergeCell ref="B164:J164"/>
    <mergeCell ref="B165:J165"/>
    <mergeCell ref="M154:T154"/>
    <mergeCell ref="M152:T152"/>
    <mergeCell ref="K155:K156"/>
    <mergeCell ref="A169:J169"/>
    <mergeCell ref="A170:K170"/>
    <mergeCell ref="B159:F159"/>
    <mergeCell ref="G159:H159"/>
    <mergeCell ref="I159:J159"/>
    <mergeCell ref="A161:K161"/>
    <mergeCell ref="A162:J162"/>
    <mergeCell ref="B166:J166"/>
    <mergeCell ref="A160:H160"/>
    <mergeCell ref="I160:J160"/>
    <mergeCell ref="B167:J167"/>
    <mergeCell ref="A81:J81"/>
    <mergeCell ref="A82:J82"/>
    <mergeCell ref="A83:J83"/>
    <mergeCell ref="A84:J84"/>
    <mergeCell ref="A85:J85"/>
    <mergeCell ref="A86:G87"/>
    <mergeCell ref="A88:J88"/>
    <mergeCell ref="A89:K89"/>
    <mergeCell ref="A90:J90"/>
    <mergeCell ref="A91:J91"/>
    <mergeCell ref="A92:G93"/>
    <mergeCell ref="H92:J92"/>
    <mergeCell ref="H93:J93"/>
    <mergeCell ref="A94:J94"/>
    <mergeCell ref="A95:K95"/>
    <mergeCell ref="A96:J96"/>
    <mergeCell ref="A97:J97"/>
    <mergeCell ref="A98:G99"/>
    <mergeCell ref="H98:J98"/>
    <mergeCell ref="H99:J99"/>
    <mergeCell ref="A100:J100"/>
    <mergeCell ref="A101:J101"/>
    <mergeCell ref="A102:K102"/>
    <mergeCell ref="A103:K103"/>
    <mergeCell ref="A104:K104"/>
    <mergeCell ref="A105:K105"/>
    <mergeCell ref="A106:E106"/>
    <mergeCell ref="H106:J106"/>
    <mergeCell ref="A107:E107"/>
    <mergeCell ref="H107:J107"/>
    <mergeCell ref="A108:E108"/>
    <mergeCell ref="H108:J108"/>
    <mergeCell ref="A109:E109"/>
    <mergeCell ref="H109:J109"/>
    <mergeCell ref="A110:E110"/>
    <mergeCell ref="H110:J110"/>
    <mergeCell ref="A111:E111"/>
    <mergeCell ref="H111:J111"/>
    <mergeCell ref="A112:E112"/>
    <mergeCell ref="H112:J112"/>
    <mergeCell ref="A113:E113"/>
    <mergeCell ref="H113:J113"/>
    <mergeCell ref="A114:E114"/>
    <mergeCell ref="H114:J114"/>
    <mergeCell ref="A122:J122"/>
    <mergeCell ref="A123:J123"/>
    <mergeCell ref="A124:J124"/>
    <mergeCell ref="A119:J119"/>
    <mergeCell ref="A126:J126"/>
    <mergeCell ref="A127:J127"/>
    <mergeCell ref="A125:J125"/>
    <mergeCell ref="A120:J120"/>
    <mergeCell ref="A121:J121"/>
    <mergeCell ref="A118:E118"/>
    <mergeCell ref="A115:E115"/>
    <mergeCell ref="H115:J115"/>
    <mergeCell ref="A116:E116"/>
    <mergeCell ref="H116:J116"/>
    <mergeCell ref="A117:E117"/>
    <mergeCell ref="H117:J117"/>
    <mergeCell ref="H118:J118"/>
  </mergeCells>
  <dataValidations count="1">
    <dataValidation type="custom" allowBlank="1" showInputMessage="1" showErrorMessage="1" sqref="O49">
      <formula1>"0,5 a 1"</formula1>
    </dataValidation>
  </dataValidations>
  <printOptions horizontalCentered="1" verticalCentered="1"/>
  <pageMargins left="0.7086614173228347" right="0.7086614173228347" top="0.7480314960629921" bottom="0.7480314960629921" header="0.31496062992125984" footer="0.31496062992125984"/>
  <pageSetup fitToHeight="2"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T164"/>
  <sheetViews>
    <sheetView showGridLines="0" showZeros="0" zoomScaleSheetLayoutView="100" zoomScalePageLayoutView="60" workbookViewId="0" topLeftCell="A1">
      <selection activeCell="K17" sqref="K17"/>
    </sheetView>
  </sheetViews>
  <sheetFormatPr defaultColWidth="8.7109375" defaultRowHeight="15"/>
  <cols>
    <col min="1" max="1" width="7.140625" style="1" customWidth="1"/>
    <col min="2" max="2" width="6.7109375" style="1" customWidth="1"/>
    <col min="3" max="3" width="6.28125" style="1" customWidth="1"/>
    <col min="4" max="4" width="8.7109375" style="1" customWidth="1"/>
    <col min="5" max="5" width="11.28125" style="1" customWidth="1"/>
    <col min="6" max="6" width="19.140625" style="1" customWidth="1"/>
    <col min="7" max="8" width="10.7109375" style="1" customWidth="1"/>
    <col min="9" max="9" width="8.7109375" style="1" customWidth="1"/>
    <col min="10" max="10" width="7.00390625" style="1" customWidth="1"/>
    <col min="11" max="11" width="41.421875" style="3" customWidth="1"/>
    <col min="12" max="12" width="3.421875" style="1" customWidth="1"/>
    <col min="13" max="13" width="11.140625" style="22" bestFit="1" customWidth="1"/>
    <col min="14" max="19" width="8.7109375" style="22" customWidth="1"/>
    <col min="20" max="20" width="19.57421875" style="22" customWidth="1"/>
    <col min="21" max="16384" width="8.7109375" style="1" customWidth="1"/>
  </cols>
  <sheetData>
    <row r="1" spans="1:11" ht="21.75" customHeight="1">
      <c r="A1" s="663" t="s">
        <v>156</v>
      </c>
      <c r="B1" s="664"/>
      <c r="C1" s="664"/>
      <c r="D1" s="664"/>
      <c r="E1" s="664"/>
      <c r="F1" s="664"/>
      <c r="G1" s="664"/>
      <c r="H1" s="664"/>
      <c r="I1" s="664"/>
      <c r="J1" s="664"/>
      <c r="K1" s="665"/>
    </row>
    <row r="2" spans="1:11" ht="6.75" customHeight="1">
      <c r="A2" s="551"/>
      <c r="B2" s="551"/>
      <c r="C2" s="551"/>
      <c r="D2" s="551"/>
      <c r="E2" s="551"/>
      <c r="F2" s="551"/>
      <c r="G2" s="551"/>
      <c r="H2" s="551"/>
      <c r="I2" s="551"/>
      <c r="J2" s="551"/>
      <c r="K2" s="551"/>
    </row>
    <row r="3" spans="1:11" ht="17.25" customHeight="1">
      <c r="A3" s="666" t="s">
        <v>75</v>
      </c>
      <c r="B3" s="666"/>
      <c r="C3" s="666"/>
      <c r="D3" s="667" t="s">
        <v>157</v>
      </c>
      <c r="E3" s="668"/>
      <c r="F3" s="668"/>
      <c r="G3" s="668"/>
      <c r="H3" s="668"/>
      <c r="I3" s="668"/>
      <c r="J3" s="668"/>
      <c r="K3" s="669"/>
    </row>
    <row r="4" spans="1:11" ht="17.25" customHeight="1">
      <c r="A4" s="666" t="s">
        <v>95</v>
      </c>
      <c r="B4" s="666"/>
      <c r="C4" s="666"/>
      <c r="D4" s="667" t="s">
        <v>158</v>
      </c>
      <c r="E4" s="668"/>
      <c r="F4" s="668"/>
      <c r="G4" s="668"/>
      <c r="H4" s="668"/>
      <c r="I4" s="668"/>
      <c r="J4" s="668"/>
      <c r="K4" s="669"/>
    </row>
    <row r="5" spans="1:11" ht="17.25" customHeight="1">
      <c r="A5" s="666" t="s">
        <v>96</v>
      </c>
      <c r="B5" s="666"/>
      <c r="C5" s="666"/>
      <c r="D5" s="667" t="s">
        <v>97</v>
      </c>
      <c r="E5" s="668"/>
      <c r="F5" s="668"/>
      <c r="G5" s="668"/>
      <c r="H5" s="668"/>
      <c r="I5" s="668"/>
      <c r="J5" s="668"/>
      <c r="K5" s="669"/>
    </row>
    <row r="6" spans="1:11" ht="17.25" customHeight="1">
      <c r="A6" s="666" t="s">
        <v>159</v>
      </c>
      <c r="B6" s="666"/>
      <c r="C6" s="666"/>
      <c r="D6" s="667" t="s">
        <v>213</v>
      </c>
      <c r="E6" s="668"/>
      <c r="F6" s="668"/>
      <c r="G6" s="668"/>
      <c r="H6" s="668"/>
      <c r="I6" s="668"/>
      <c r="J6" s="668"/>
      <c r="K6" s="669"/>
    </row>
    <row r="7" spans="1:11" ht="6.75" customHeight="1">
      <c r="A7" s="670"/>
      <c r="B7" s="670"/>
      <c r="C7" s="670"/>
      <c r="D7" s="670"/>
      <c r="E7" s="670"/>
      <c r="F7" s="670"/>
      <c r="G7" s="670"/>
      <c r="H7" s="670"/>
      <c r="I7" s="670"/>
      <c r="J7" s="670"/>
      <c r="K7" s="670"/>
    </row>
    <row r="8" spans="1:11" ht="6.75" customHeight="1">
      <c r="A8" s="571"/>
      <c r="B8" s="571"/>
      <c r="C8" s="571"/>
      <c r="D8" s="571"/>
      <c r="E8" s="571"/>
      <c r="F8" s="571"/>
      <c r="G8" s="571"/>
      <c r="H8" s="571"/>
      <c r="I8" s="571"/>
      <c r="J8" s="571"/>
      <c r="K8" s="571"/>
    </row>
    <row r="9" spans="1:11" ht="17.25" customHeight="1">
      <c r="A9" s="560" t="s">
        <v>0</v>
      </c>
      <c r="B9" s="560"/>
      <c r="C9" s="560"/>
      <c r="D9" s="560"/>
      <c r="E9" s="560"/>
      <c r="F9" s="560"/>
      <c r="G9" s="560"/>
      <c r="H9" s="560"/>
      <c r="I9" s="560"/>
      <c r="J9" s="560"/>
      <c r="K9" s="560"/>
    </row>
    <row r="10" spans="1:11" ht="17.25" customHeight="1">
      <c r="A10" s="32" t="s">
        <v>1</v>
      </c>
      <c r="B10" s="549" t="s">
        <v>2</v>
      </c>
      <c r="C10" s="549"/>
      <c r="D10" s="549"/>
      <c r="E10" s="549"/>
      <c r="F10" s="549"/>
      <c r="G10" s="549"/>
      <c r="H10" s="549"/>
      <c r="I10" s="549"/>
      <c r="J10" s="549"/>
      <c r="K10" s="7"/>
    </row>
    <row r="11" spans="1:11" ht="16.5" customHeight="1">
      <c r="A11" s="32" t="s">
        <v>3</v>
      </c>
      <c r="B11" s="549" t="s">
        <v>4</v>
      </c>
      <c r="C11" s="549"/>
      <c r="D11" s="549"/>
      <c r="E11" s="549"/>
      <c r="F11" s="549"/>
      <c r="G11" s="549"/>
      <c r="H11" s="549"/>
      <c r="I11" s="549"/>
      <c r="J11" s="549"/>
      <c r="K11" s="44" t="s">
        <v>214</v>
      </c>
    </row>
    <row r="12" spans="1:11" ht="25.5">
      <c r="A12" s="32" t="s">
        <v>5</v>
      </c>
      <c r="B12" s="549" t="s">
        <v>120</v>
      </c>
      <c r="C12" s="549"/>
      <c r="D12" s="549"/>
      <c r="E12" s="549"/>
      <c r="F12" s="549"/>
      <c r="G12" s="549"/>
      <c r="H12" s="549"/>
      <c r="I12" s="549"/>
      <c r="J12" s="549"/>
      <c r="K12" s="45" t="s">
        <v>220</v>
      </c>
    </row>
    <row r="13" spans="1:11" ht="16.5" customHeight="1">
      <c r="A13" s="32" t="s">
        <v>6</v>
      </c>
      <c r="B13" s="591" t="s">
        <v>77</v>
      </c>
      <c r="C13" s="591"/>
      <c r="D13" s="591"/>
      <c r="E13" s="591"/>
      <c r="F13" s="591"/>
      <c r="G13" s="591"/>
      <c r="H13" s="591"/>
      <c r="I13" s="591"/>
      <c r="J13" s="591"/>
      <c r="K13" s="44" t="s">
        <v>160</v>
      </c>
    </row>
    <row r="14" spans="1:11" ht="16.5" customHeight="1">
      <c r="A14" s="32" t="s">
        <v>8</v>
      </c>
      <c r="B14" s="591" t="s">
        <v>127</v>
      </c>
      <c r="C14" s="591"/>
      <c r="D14" s="591"/>
      <c r="E14" s="591"/>
      <c r="F14" s="591"/>
      <c r="G14" s="591"/>
      <c r="H14" s="591"/>
      <c r="I14" s="591"/>
      <c r="J14" s="591"/>
      <c r="K14" s="40" t="s">
        <v>223</v>
      </c>
    </row>
    <row r="15" spans="1:11" ht="16.5" customHeight="1">
      <c r="A15" s="32" t="s">
        <v>10</v>
      </c>
      <c r="B15" s="591" t="s">
        <v>7</v>
      </c>
      <c r="C15" s="591"/>
      <c r="D15" s="591"/>
      <c r="E15" s="591"/>
      <c r="F15" s="591"/>
      <c r="G15" s="591"/>
      <c r="H15" s="591"/>
      <c r="I15" s="591"/>
      <c r="J15" s="591"/>
      <c r="K15" s="44" t="s">
        <v>161</v>
      </c>
    </row>
    <row r="16" spans="1:12" ht="16.5" customHeight="1">
      <c r="A16" s="32" t="s">
        <v>11</v>
      </c>
      <c r="B16" s="591" t="s">
        <v>9</v>
      </c>
      <c r="C16" s="591"/>
      <c r="D16" s="591"/>
      <c r="E16" s="591"/>
      <c r="F16" s="591"/>
      <c r="G16" s="591"/>
      <c r="H16" s="591"/>
      <c r="I16" s="591"/>
      <c r="J16" s="591"/>
      <c r="K16" s="44" t="s">
        <v>247</v>
      </c>
      <c r="L16" s="4"/>
    </row>
    <row r="17" spans="1:12" ht="16.5" customHeight="1">
      <c r="A17" s="32" t="s">
        <v>12</v>
      </c>
      <c r="B17" s="591" t="s">
        <v>143</v>
      </c>
      <c r="C17" s="591"/>
      <c r="D17" s="591"/>
      <c r="E17" s="591"/>
      <c r="F17" s="591"/>
      <c r="G17" s="591"/>
      <c r="H17" s="591"/>
      <c r="I17" s="591"/>
      <c r="J17" s="591"/>
      <c r="K17" s="44">
        <v>1039</v>
      </c>
      <c r="L17" s="4"/>
    </row>
    <row r="18" spans="1:11" ht="16.5" customHeight="1">
      <c r="A18" s="32" t="s">
        <v>14</v>
      </c>
      <c r="B18" s="591" t="s">
        <v>162</v>
      </c>
      <c r="C18" s="591"/>
      <c r="D18" s="591"/>
      <c r="E18" s="591"/>
      <c r="F18" s="591"/>
      <c r="G18" s="591"/>
      <c r="H18" s="591"/>
      <c r="I18" s="591"/>
      <c r="J18" s="591"/>
      <c r="K18" s="44">
        <v>1351.97</v>
      </c>
    </row>
    <row r="19" spans="1:11" ht="15">
      <c r="A19" s="32" t="s">
        <v>16</v>
      </c>
      <c r="B19" s="549" t="s">
        <v>84</v>
      </c>
      <c r="C19" s="549"/>
      <c r="D19" s="549"/>
      <c r="E19" s="549"/>
      <c r="F19" s="549"/>
      <c r="G19" s="549"/>
      <c r="H19" s="549"/>
      <c r="I19" s="549"/>
      <c r="J19" s="549"/>
      <c r="K19" s="8" t="s">
        <v>215</v>
      </c>
    </row>
    <row r="20" spans="1:11" ht="16.5" customHeight="1">
      <c r="A20" s="32" t="s">
        <v>76</v>
      </c>
      <c r="B20" s="549" t="s">
        <v>13</v>
      </c>
      <c r="C20" s="549"/>
      <c r="D20" s="549"/>
      <c r="E20" s="549"/>
      <c r="F20" s="549"/>
      <c r="G20" s="549"/>
      <c r="H20" s="549"/>
      <c r="I20" s="549"/>
      <c r="J20" s="549"/>
      <c r="K20" s="19">
        <v>43466</v>
      </c>
    </row>
    <row r="21" spans="1:11" ht="17.25" customHeight="1">
      <c r="A21" s="32" t="s">
        <v>78</v>
      </c>
      <c r="B21" s="549" t="s">
        <v>15</v>
      </c>
      <c r="C21" s="549"/>
      <c r="D21" s="549"/>
      <c r="E21" s="549"/>
      <c r="F21" s="549"/>
      <c r="G21" s="549"/>
      <c r="H21" s="549"/>
      <c r="I21" s="549"/>
      <c r="J21" s="549"/>
      <c r="K21" s="9" t="s">
        <v>163</v>
      </c>
    </row>
    <row r="22" spans="1:11" ht="17.25" customHeight="1">
      <c r="A22" s="32" t="s">
        <v>142</v>
      </c>
      <c r="B22" s="549" t="s">
        <v>17</v>
      </c>
      <c r="C22" s="549"/>
      <c r="D22" s="549"/>
      <c r="E22" s="549"/>
      <c r="F22" s="549"/>
      <c r="G22" s="549"/>
      <c r="H22" s="549"/>
      <c r="I22" s="549"/>
      <c r="J22" s="549"/>
      <c r="K22" s="10">
        <v>12</v>
      </c>
    </row>
    <row r="23" spans="1:11" ht="6.75" customHeight="1">
      <c r="A23" s="571"/>
      <c r="B23" s="571"/>
      <c r="C23" s="571"/>
      <c r="D23" s="571"/>
      <c r="E23" s="571"/>
      <c r="F23" s="571"/>
      <c r="G23" s="571"/>
      <c r="H23" s="571"/>
      <c r="I23" s="571"/>
      <c r="J23" s="571"/>
      <c r="K23" s="571"/>
    </row>
    <row r="24" spans="1:11" ht="17.25" customHeight="1">
      <c r="A24" s="560" t="s">
        <v>18</v>
      </c>
      <c r="B24" s="560"/>
      <c r="C24" s="560"/>
      <c r="D24" s="560"/>
      <c r="E24" s="560"/>
      <c r="F24" s="560"/>
      <c r="G24" s="560"/>
      <c r="H24" s="560"/>
      <c r="I24" s="560"/>
      <c r="J24" s="560"/>
      <c r="K24" s="560"/>
    </row>
    <row r="25" spans="1:11" ht="17.25" customHeight="1">
      <c r="A25" s="560"/>
      <c r="B25" s="560"/>
      <c r="C25" s="560"/>
      <c r="D25" s="560"/>
      <c r="E25" s="560"/>
      <c r="F25" s="560"/>
      <c r="G25" s="560"/>
      <c r="H25" s="560"/>
      <c r="I25" s="560"/>
      <c r="J25" s="560"/>
      <c r="K25" s="42" t="s">
        <v>20</v>
      </c>
    </row>
    <row r="26" spans="1:11" ht="17.25" customHeight="1">
      <c r="A26" s="32" t="s">
        <v>1</v>
      </c>
      <c r="B26" s="591" t="s">
        <v>21</v>
      </c>
      <c r="C26" s="591"/>
      <c r="D26" s="591"/>
      <c r="E26" s="591"/>
      <c r="F26" s="591"/>
      <c r="G26" s="591"/>
      <c r="H26" s="41">
        <v>220</v>
      </c>
      <c r="I26" s="556" t="s">
        <v>126</v>
      </c>
      <c r="J26" s="556"/>
      <c r="K26" s="35">
        <f>K18/220*H26</f>
        <v>1351.97</v>
      </c>
    </row>
    <row r="27" spans="1:20" ht="17.25" customHeight="1">
      <c r="A27" s="32" t="s">
        <v>3</v>
      </c>
      <c r="B27" s="591" t="s">
        <v>98</v>
      </c>
      <c r="C27" s="591"/>
      <c r="D27" s="591"/>
      <c r="E27" s="591"/>
      <c r="F27" s="591"/>
      <c r="G27" s="591"/>
      <c r="H27" s="37">
        <v>0</v>
      </c>
      <c r="I27" s="556" t="s">
        <v>100</v>
      </c>
      <c r="J27" s="556"/>
      <c r="K27" s="44">
        <f>H27*K17</f>
        <v>0</v>
      </c>
      <c r="M27" s="23" t="s">
        <v>153</v>
      </c>
      <c r="N27" s="24"/>
      <c r="O27" s="24"/>
      <c r="P27" s="24"/>
      <c r="Q27" s="24"/>
      <c r="R27" s="24"/>
      <c r="S27" s="24"/>
      <c r="T27" s="25"/>
    </row>
    <row r="28" spans="1:20" ht="17.25" customHeight="1">
      <c r="A28" s="32" t="s">
        <v>5</v>
      </c>
      <c r="B28" s="591" t="s">
        <v>99</v>
      </c>
      <c r="C28" s="591"/>
      <c r="D28" s="591"/>
      <c r="E28" s="591"/>
      <c r="F28" s="591"/>
      <c r="G28" s="591"/>
      <c r="H28" s="37"/>
      <c r="I28" s="556" t="s">
        <v>100</v>
      </c>
      <c r="J28" s="556"/>
      <c r="K28" s="44">
        <f>H28*K17</f>
        <v>0</v>
      </c>
      <c r="M28" s="23" t="s">
        <v>153</v>
      </c>
      <c r="N28" s="24"/>
      <c r="O28" s="24"/>
      <c r="P28" s="24"/>
      <c r="Q28" s="24"/>
      <c r="R28" s="24"/>
      <c r="S28" s="24"/>
      <c r="T28" s="25"/>
    </row>
    <row r="29" spans="1:11" ht="17.25" customHeight="1">
      <c r="A29" s="32" t="s">
        <v>6</v>
      </c>
      <c r="B29" s="657" t="s">
        <v>101</v>
      </c>
      <c r="C29" s="658"/>
      <c r="D29" s="658"/>
      <c r="E29" s="658"/>
      <c r="F29" s="658"/>
      <c r="G29" s="659"/>
      <c r="H29" s="37"/>
      <c r="I29" s="556" t="s">
        <v>100</v>
      </c>
      <c r="J29" s="556"/>
      <c r="K29" s="44">
        <f>H29*K26</f>
        <v>0</v>
      </c>
    </row>
    <row r="30" spans="1:11" ht="17.25" customHeight="1">
      <c r="A30" s="32" t="s">
        <v>102</v>
      </c>
      <c r="B30" s="657" t="s">
        <v>103</v>
      </c>
      <c r="C30" s="658"/>
      <c r="D30" s="658"/>
      <c r="E30" s="658"/>
      <c r="F30" s="658"/>
      <c r="G30" s="659"/>
      <c r="H30" s="37"/>
      <c r="I30" s="556" t="s">
        <v>100</v>
      </c>
      <c r="J30" s="556"/>
      <c r="K30" s="44">
        <f>H30*K26</f>
        <v>0</v>
      </c>
    </row>
    <row r="31" spans="1:20" ht="17.25" customHeight="1">
      <c r="A31" s="556" t="s">
        <v>10</v>
      </c>
      <c r="B31" s="591" t="s">
        <v>140</v>
      </c>
      <c r="C31" s="591"/>
      <c r="D31" s="591"/>
      <c r="E31" s="591"/>
      <c r="F31" s="591"/>
      <c r="G31" s="660" t="s">
        <v>125</v>
      </c>
      <c r="H31" s="661" t="s">
        <v>123</v>
      </c>
      <c r="I31" s="660" t="s">
        <v>124</v>
      </c>
      <c r="J31" s="660"/>
      <c r="K31" s="604">
        <f>ROUND(I33*H33,2)</f>
        <v>0</v>
      </c>
      <c r="M31" s="562" t="s">
        <v>154</v>
      </c>
      <c r="N31" s="563"/>
      <c r="O31" s="563"/>
      <c r="P31" s="563"/>
      <c r="Q31" s="563"/>
      <c r="R31" s="563"/>
      <c r="S31" s="563"/>
      <c r="T31" s="564"/>
    </row>
    <row r="32" spans="1:20" ht="22.5" customHeight="1">
      <c r="A32" s="556"/>
      <c r="B32" s="591"/>
      <c r="C32" s="591"/>
      <c r="D32" s="591"/>
      <c r="E32" s="591"/>
      <c r="F32" s="591"/>
      <c r="G32" s="660"/>
      <c r="H32" s="661"/>
      <c r="I32" s="660"/>
      <c r="J32" s="660"/>
      <c r="K32" s="604"/>
      <c r="M32" s="587"/>
      <c r="N32" s="588"/>
      <c r="O32" s="588"/>
      <c r="P32" s="588"/>
      <c r="Q32" s="588"/>
      <c r="R32" s="588"/>
      <c r="S32" s="588"/>
      <c r="T32" s="589"/>
    </row>
    <row r="33" spans="1:20" ht="17.25" customHeight="1">
      <c r="A33" s="556"/>
      <c r="B33" s="591"/>
      <c r="C33" s="591"/>
      <c r="D33" s="591"/>
      <c r="E33" s="591"/>
      <c r="F33" s="591"/>
      <c r="G33" s="37"/>
      <c r="H33" s="41"/>
      <c r="I33" s="662">
        <f>(K26/H26)*(1+G33)</f>
        <v>6.145318181818182</v>
      </c>
      <c r="J33" s="662"/>
      <c r="K33" s="604"/>
      <c r="M33" s="568"/>
      <c r="N33" s="569"/>
      <c r="O33" s="569"/>
      <c r="P33" s="569"/>
      <c r="Q33" s="569"/>
      <c r="R33" s="569"/>
      <c r="S33" s="569"/>
      <c r="T33" s="570"/>
    </row>
    <row r="34" spans="1:11" ht="17.25" customHeight="1">
      <c r="A34" s="32" t="s">
        <v>11</v>
      </c>
      <c r="B34" s="580" t="s">
        <v>22</v>
      </c>
      <c r="C34" s="580"/>
      <c r="D34" s="580"/>
      <c r="E34" s="580"/>
      <c r="F34" s="580"/>
      <c r="G34" s="580"/>
      <c r="H34" s="580"/>
      <c r="I34" s="580"/>
      <c r="J34" s="580"/>
      <c r="K34" s="44"/>
    </row>
    <row r="35" spans="1:11" ht="17.25" customHeight="1">
      <c r="A35" s="560" t="s">
        <v>23</v>
      </c>
      <c r="B35" s="560"/>
      <c r="C35" s="560"/>
      <c r="D35" s="560"/>
      <c r="E35" s="560"/>
      <c r="F35" s="560"/>
      <c r="G35" s="560"/>
      <c r="H35" s="560"/>
      <c r="I35" s="560"/>
      <c r="J35" s="560"/>
      <c r="K35" s="11">
        <f>ROUND(SUM(K26:K34),2)</f>
        <v>1351.97</v>
      </c>
    </row>
    <row r="36" spans="1:11" ht="6.75" customHeight="1">
      <c r="A36" s="571"/>
      <c r="B36" s="571"/>
      <c r="C36" s="571"/>
      <c r="D36" s="571"/>
      <c r="E36" s="571"/>
      <c r="F36" s="571"/>
      <c r="G36" s="571"/>
      <c r="H36" s="571"/>
      <c r="I36" s="571"/>
      <c r="J36" s="571"/>
      <c r="K36" s="571"/>
    </row>
    <row r="37" spans="1:11" ht="17.25" customHeight="1">
      <c r="A37" s="560" t="s">
        <v>24</v>
      </c>
      <c r="B37" s="560"/>
      <c r="C37" s="560"/>
      <c r="D37" s="560"/>
      <c r="E37" s="560"/>
      <c r="F37" s="560"/>
      <c r="G37" s="560"/>
      <c r="H37" s="560"/>
      <c r="I37" s="560"/>
      <c r="J37" s="560"/>
      <c r="K37" s="560"/>
    </row>
    <row r="38" spans="1:13" ht="17.25" customHeight="1">
      <c r="A38" s="581" t="s">
        <v>121</v>
      </c>
      <c r="B38" s="581"/>
      <c r="C38" s="581"/>
      <c r="D38" s="581"/>
      <c r="E38" s="581"/>
      <c r="F38" s="581"/>
      <c r="G38" s="581"/>
      <c r="H38" s="581"/>
      <c r="I38" s="581"/>
      <c r="J38" s="581"/>
      <c r="K38" s="581"/>
      <c r="M38" s="26"/>
    </row>
    <row r="39" spans="1:20" s="2" customFormat="1" ht="17.25" customHeight="1">
      <c r="A39" s="643"/>
      <c r="B39" s="643"/>
      <c r="C39" s="643"/>
      <c r="D39" s="643"/>
      <c r="E39" s="643"/>
      <c r="F39" s="643"/>
      <c r="G39" s="643"/>
      <c r="H39" s="643"/>
      <c r="I39" s="560" t="s">
        <v>25</v>
      </c>
      <c r="J39" s="560"/>
      <c r="K39" s="42" t="s">
        <v>20</v>
      </c>
      <c r="M39" s="22"/>
      <c r="N39" s="22"/>
      <c r="O39" s="22"/>
      <c r="P39" s="22"/>
      <c r="Q39" s="22"/>
      <c r="R39" s="22"/>
      <c r="S39" s="22"/>
      <c r="T39" s="22"/>
    </row>
    <row r="40" spans="1:20" ht="17.25" customHeight="1">
      <c r="A40" s="32" t="s">
        <v>1</v>
      </c>
      <c r="B40" s="549" t="s">
        <v>122</v>
      </c>
      <c r="C40" s="549"/>
      <c r="D40" s="549"/>
      <c r="E40" s="549"/>
      <c r="F40" s="549"/>
      <c r="G40" s="549"/>
      <c r="H40" s="549"/>
      <c r="I40" s="646">
        <f>ROUND(1/12,4)</f>
        <v>0.0833</v>
      </c>
      <c r="J40" s="646"/>
      <c r="K40" s="36">
        <f>ROUND(I40*$K$35,2)</f>
        <v>112.62</v>
      </c>
      <c r="M40" s="647" t="s">
        <v>108</v>
      </c>
      <c r="N40" s="648"/>
      <c r="O40" s="648"/>
      <c r="P40" s="648"/>
      <c r="Q40" s="648"/>
      <c r="R40" s="648"/>
      <c r="S40" s="648"/>
      <c r="T40" s="649"/>
    </row>
    <row r="41" spans="1:20" ht="17.25" customHeight="1">
      <c r="A41" s="32" t="s">
        <v>3</v>
      </c>
      <c r="B41" s="591" t="s">
        <v>26</v>
      </c>
      <c r="C41" s="591"/>
      <c r="D41" s="591"/>
      <c r="E41" s="591"/>
      <c r="F41" s="591"/>
      <c r="G41" s="591"/>
      <c r="H41" s="591"/>
      <c r="I41" s="646">
        <f>ROUND(1/3/12,4)</f>
        <v>0.0278</v>
      </c>
      <c r="J41" s="646"/>
      <c r="K41" s="36">
        <f>ROUND(I41*$K$35,2)</f>
        <v>37.58</v>
      </c>
      <c r="M41" s="650"/>
      <c r="N41" s="651"/>
      <c r="O41" s="651"/>
      <c r="P41" s="651"/>
      <c r="Q41" s="651"/>
      <c r="R41" s="651"/>
      <c r="S41" s="651"/>
      <c r="T41" s="652"/>
    </row>
    <row r="42" spans="1:20" ht="17.25" customHeight="1">
      <c r="A42" s="20" t="s">
        <v>5</v>
      </c>
      <c r="B42" s="656" t="s">
        <v>141</v>
      </c>
      <c r="C42" s="656"/>
      <c r="D42" s="656"/>
      <c r="E42" s="656"/>
      <c r="F42" s="656"/>
      <c r="G42" s="656"/>
      <c r="H42" s="656"/>
      <c r="I42" s="634">
        <f>ROUND(1/12,4)</f>
        <v>0.0833</v>
      </c>
      <c r="J42" s="634"/>
      <c r="K42" s="35">
        <f>ROUND(I42*$K$35,2)</f>
        <v>112.62</v>
      </c>
      <c r="M42" s="653"/>
      <c r="N42" s="654"/>
      <c r="O42" s="654"/>
      <c r="P42" s="654"/>
      <c r="Q42" s="654"/>
      <c r="R42" s="654"/>
      <c r="S42" s="654"/>
      <c r="T42" s="655"/>
    </row>
    <row r="43" spans="1:11" ht="17.25" customHeight="1">
      <c r="A43" s="581" t="s">
        <v>27</v>
      </c>
      <c r="B43" s="581"/>
      <c r="C43" s="581"/>
      <c r="D43" s="581"/>
      <c r="E43" s="581"/>
      <c r="F43" s="581"/>
      <c r="G43" s="581"/>
      <c r="H43" s="581"/>
      <c r="I43" s="586">
        <f>SUM(I40:J42)</f>
        <v>0.19440000000000002</v>
      </c>
      <c r="J43" s="586"/>
      <c r="K43" s="12">
        <f>ROUND(SUM(K40:K42),2)</f>
        <v>262.82</v>
      </c>
    </row>
    <row r="44" spans="1:11" ht="6.75" customHeight="1">
      <c r="A44" s="551"/>
      <c r="B44" s="551"/>
      <c r="C44" s="551"/>
      <c r="D44" s="551"/>
      <c r="E44" s="551"/>
      <c r="F44" s="551"/>
      <c r="G44" s="551"/>
      <c r="H44" s="551"/>
      <c r="I44" s="551"/>
      <c r="J44" s="551"/>
      <c r="K44" s="551"/>
    </row>
    <row r="45" spans="1:11" ht="17.25" customHeight="1">
      <c r="A45" s="581" t="s">
        <v>28</v>
      </c>
      <c r="B45" s="581"/>
      <c r="C45" s="581"/>
      <c r="D45" s="581"/>
      <c r="E45" s="581"/>
      <c r="F45" s="581"/>
      <c r="G45" s="581"/>
      <c r="H45" s="581"/>
      <c r="I45" s="581"/>
      <c r="J45" s="581"/>
      <c r="K45" s="581"/>
    </row>
    <row r="46" spans="1:11" ht="17.25" customHeight="1">
      <c r="A46" s="641" t="s">
        <v>68</v>
      </c>
      <c r="B46" s="641"/>
      <c r="C46" s="641"/>
      <c r="D46" s="641"/>
      <c r="E46" s="641"/>
      <c r="F46" s="641"/>
      <c r="G46" s="641"/>
      <c r="H46" s="641"/>
      <c r="I46" s="641"/>
      <c r="J46" s="641"/>
      <c r="K46" s="12">
        <f>K35</f>
        <v>1351.97</v>
      </c>
    </row>
    <row r="47" spans="1:11" ht="17.25" customHeight="1">
      <c r="A47" s="642" t="s">
        <v>79</v>
      </c>
      <c r="B47" s="642"/>
      <c r="C47" s="642"/>
      <c r="D47" s="642"/>
      <c r="E47" s="642"/>
      <c r="F47" s="642"/>
      <c r="G47" s="642"/>
      <c r="H47" s="642"/>
      <c r="I47" s="642"/>
      <c r="J47" s="642"/>
      <c r="K47" s="12">
        <f>K43</f>
        <v>262.82</v>
      </c>
    </row>
    <row r="48" spans="1:11" ht="17.25" customHeight="1">
      <c r="A48" s="642" t="s">
        <v>80</v>
      </c>
      <c r="B48" s="642"/>
      <c r="C48" s="642"/>
      <c r="D48" s="642"/>
      <c r="E48" s="642"/>
      <c r="F48" s="642"/>
      <c r="G48" s="642"/>
      <c r="H48" s="642"/>
      <c r="I48" s="642"/>
      <c r="J48" s="642"/>
      <c r="K48" s="12">
        <f>SUM(K46:K47)</f>
        <v>1614.79</v>
      </c>
    </row>
    <row r="49" spans="1:20" s="2" customFormat="1" ht="17.25" customHeight="1">
      <c r="A49" s="643"/>
      <c r="B49" s="643"/>
      <c r="C49" s="643"/>
      <c r="D49" s="643"/>
      <c r="E49" s="643"/>
      <c r="F49" s="643"/>
      <c r="G49" s="643"/>
      <c r="H49" s="643"/>
      <c r="I49" s="560" t="s">
        <v>25</v>
      </c>
      <c r="J49" s="560"/>
      <c r="K49" s="42" t="s">
        <v>20</v>
      </c>
      <c r="M49" s="71"/>
      <c r="N49" s="71"/>
      <c r="O49" s="71"/>
      <c r="P49" s="71"/>
      <c r="Q49" s="71"/>
      <c r="R49" s="71"/>
      <c r="S49" s="22"/>
      <c r="T49" s="22"/>
    </row>
    <row r="50" spans="1:11" ht="17.25" customHeight="1">
      <c r="A50" s="32" t="s">
        <v>1</v>
      </c>
      <c r="B50" s="549" t="s">
        <v>144</v>
      </c>
      <c r="C50" s="549"/>
      <c r="D50" s="549"/>
      <c r="E50" s="549"/>
      <c r="F50" s="549"/>
      <c r="G50" s="549"/>
      <c r="H50" s="549"/>
      <c r="I50" s="634">
        <v>0.2</v>
      </c>
      <c r="J50" s="634"/>
      <c r="K50" s="36">
        <f>ROUND(I50*$K$48,2)</f>
        <v>322.96</v>
      </c>
    </row>
    <row r="51" spans="1:11" ht="17.25" customHeight="1">
      <c r="A51" s="32" t="s">
        <v>3</v>
      </c>
      <c r="B51" s="549" t="s">
        <v>145</v>
      </c>
      <c r="C51" s="549"/>
      <c r="D51" s="549"/>
      <c r="E51" s="549"/>
      <c r="F51" s="549"/>
      <c r="G51" s="549"/>
      <c r="H51" s="549"/>
      <c r="I51" s="634">
        <v>0.025</v>
      </c>
      <c r="J51" s="634"/>
      <c r="K51" s="36" t="e">
        <f>#N/A</f>
        <v>#N/A</v>
      </c>
    </row>
    <row r="52" spans="1:20" ht="17.25" customHeight="1">
      <c r="A52" s="603" t="s">
        <v>5</v>
      </c>
      <c r="B52" s="644" t="s">
        <v>146</v>
      </c>
      <c r="C52" s="644"/>
      <c r="D52" s="644"/>
      <c r="E52" s="644"/>
      <c r="F52" s="644"/>
      <c r="G52" s="21" t="s">
        <v>118</v>
      </c>
      <c r="H52" s="21" t="s">
        <v>119</v>
      </c>
      <c r="I52" s="645">
        <f>(G53*H53)*100</f>
        <v>0.06</v>
      </c>
      <c r="J52" s="645"/>
      <c r="K52" s="602" t="e">
        <f>#N/A</f>
        <v>#N/A</v>
      </c>
      <c r="M52" s="628" t="s">
        <v>152</v>
      </c>
      <c r="N52" s="629"/>
      <c r="O52" s="629"/>
      <c r="P52" s="629"/>
      <c r="Q52" s="629"/>
      <c r="R52" s="629"/>
      <c r="S52" s="629"/>
      <c r="T52" s="630"/>
    </row>
    <row r="53" spans="1:20" ht="17.25" customHeight="1">
      <c r="A53" s="603"/>
      <c r="B53" s="644"/>
      <c r="C53" s="644"/>
      <c r="D53" s="644"/>
      <c r="E53" s="644"/>
      <c r="F53" s="644"/>
      <c r="G53" s="62">
        <v>0.03</v>
      </c>
      <c r="H53" s="62">
        <v>0.02</v>
      </c>
      <c r="I53" s="645"/>
      <c r="J53" s="645"/>
      <c r="K53" s="602"/>
      <c r="M53" s="631"/>
      <c r="N53" s="632"/>
      <c r="O53" s="632"/>
      <c r="P53" s="632"/>
      <c r="Q53" s="632"/>
      <c r="R53" s="632"/>
      <c r="S53" s="632"/>
      <c r="T53" s="633"/>
    </row>
    <row r="54" spans="1:11" ht="17.25" customHeight="1">
      <c r="A54" s="32" t="s">
        <v>6</v>
      </c>
      <c r="B54" s="549" t="s">
        <v>147</v>
      </c>
      <c r="C54" s="549"/>
      <c r="D54" s="549"/>
      <c r="E54" s="549"/>
      <c r="F54" s="549"/>
      <c r="G54" s="549"/>
      <c r="H54" s="549"/>
      <c r="I54" s="634">
        <v>0.015</v>
      </c>
      <c r="J54" s="634"/>
      <c r="K54" s="36" t="e">
        <f>#N/A</f>
        <v>#N/A</v>
      </c>
    </row>
    <row r="55" spans="1:11" ht="17.25" customHeight="1">
      <c r="A55" s="32" t="s">
        <v>8</v>
      </c>
      <c r="B55" s="549" t="s">
        <v>148</v>
      </c>
      <c r="C55" s="549"/>
      <c r="D55" s="549"/>
      <c r="E55" s="549"/>
      <c r="F55" s="549"/>
      <c r="G55" s="549"/>
      <c r="H55" s="549"/>
      <c r="I55" s="634">
        <v>0.01</v>
      </c>
      <c r="J55" s="634"/>
      <c r="K55" s="36" t="e">
        <f>#N/A</f>
        <v>#N/A</v>
      </c>
    </row>
    <row r="56" spans="1:11" ht="17.25" customHeight="1">
      <c r="A56" s="32" t="s">
        <v>10</v>
      </c>
      <c r="B56" s="549" t="s">
        <v>149</v>
      </c>
      <c r="C56" s="549"/>
      <c r="D56" s="549"/>
      <c r="E56" s="549"/>
      <c r="F56" s="549"/>
      <c r="G56" s="549"/>
      <c r="H56" s="549"/>
      <c r="I56" s="634">
        <v>0.006</v>
      </c>
      <c r="J56" s="634"/>
      <c r="K56" s="36" t="e">
        <f>#N/A</f>
        <v>#N/A</v>
      </c>
    </row>
    <row r="57" spans="1:11" ht="17.25" customHeight="1">
      <c r="A57" s="32" t="s">
        <v>11</v>
      </c>
      <c r="B57" s="549" t="s">
        <v>150</v>
      </c>
      <c r="C57" s="549"/>
      <c r="D57" s="549"/>
      <c r="E57" s="549"/>
      <c r="F57" s="549"/>
      <c r="G57" s="549"/>
      <c r="H57" s="549"/>
      <c r="I57" s="634">
        <v>0.002</v>
      </c>
      <c r="J57" s="634"/>
      <c r="K57" s="36" t="e">
        <f>#N/A</f>
        <v>#N/A</v>
      </c>
    </row>
    <row r="58" spans="1:11" ht="17.25" customHeight="1">
      <c r="A58" s="32" t="s">
        <v>12</v>
      </c>
      <c r="B58" s="549" t="s">
        <v>151</v>
      </c>
      <c r="C58" s="549"/>
      <c r="D58" s="549"/>
      <c r="E58" s="549"/>
      <c r="F58" s="549"/>
      <c r="G58" s="549"/>
      <c r="H58" s="549"/>
      <c r="I58" s="634">
        <v>0.08</v>
      </c>
      <c r="J58" s="634"/>
      <c r="K58" s="36" t="e">
        <f>#N/A</f>
        <v>#N/A</v>
      </c>
    </row>
    <row r="59" spans="1:11" ht="17.25" customHeight="1">
      <c r="A59" s="581" t="s">
        <v>29</v>
      </c>
      <c r="B59" s="581"/>
      <c r="C59" s="581"/>
      <c r="D59" s="581"/>
      <c r="E59" s="581"/>
      <c r="F59" s="581"/>
      <c r="G59" s="581"/>
      <c r="H59" s="581"/>
      <c r="I59" s="586">
        <f>SUM(I50:J58)</f>
        <v>0.3980000000000001</v>
      </c>
      <c r="J59" s="586"/>
      <c r="K59" s="12" t="e">
        <f>ROUND(SUM(K50:K58),2)</f>
        <v>#N/A</v>
      </c>
    </row>
    <row r="60" spans="1:11" ht="5.25" customHeight="1">
      <c r="A60" s="624"/>
      <c r="B60" s="624"/>
      <c r="C60" s="624"/>
      <c r="D60" s="624"/>
      <c r="E60" s="624"/>
      <c r="F60" s="624"/>
      <c r="G60" s="624"/>
      <c r="H60" s="624"/>
      <c r="I60" s="624"/>
      <c r="J60" s="624"/>
      <c r="K60" s="624"/>
    </row>
    <row r="61" spans="1:20" ht="17.25" customHeight="1">
      <c r="A61" s="581" t="s">
        <v>30</v>
      </c>
      <c r="B61" s="581"/>
      <c r="C61" s="581"/>
      <c r="D61" s="581"/>
      <c r="E61" s="581"/>
      <c r="F61" s="581"/>
      <c r="G61" s="581"/>
      <c r="H61" s="581"/>
      <c r="I61" s="581"/>
      <c r="J61" s="581"/>
      <c r="K61" s="581"/>
      <c r="M61" s="635" t="s">
        <v>155</v>
      </c>
      <c r="N61" s="636"/>
      <c r="O61" s="636"/>
      <c r="P61" s="636"/>
      <c r="Q61" s="636"/>
      <c r="R61" s="636"/>
      <c r="S61" s="636"/>
      <c r="T61" s="637"/>
    </row>
    <row r="62" spans="1:20" ht="17.25" customHeight="1">
      <c r="A62" s="572"/>
      <c r="B62" s="572"/>
      <c r="C62" s="572"/>
      <c r="D62" s="572"/>
      <c r="E62" s="572"/>
      <c r="F62" s="572"/>
      <c r="G62" s="572"/>
      <c r="H62" s="572"/>
      <c r="I62" s="572"/>
      <c r="J62" s="572"/>
      <c r="K62" s="42" t="s">
        <v>20</v>
      </c>
      <c r="M62" s="638"/>
      <c r="N62" s="639"/>
      <c r="O62" s="639"/>
      <c r="P62" s="639"/>
      <c r="Q62" s="639"/>
      <c r="R62" s="639"/>
      <c r="S62" s="639"/>
      <c r="T62" s="640"/>
    </row>
    <row r="63" spans="1:11" ht="17.25" customHeight="1">
      <c r="A63" s="556" t="s">
        <v>1</v>
      </c>
      <c r="B63" s="625" t="s">
        <v>128</v>
      </c>
      <c r="C63" s="626"/>
      <c r="D63" s="626"/>
      <c r="E63" s="626"/>
      <c r="F63" s="627"/>
      <c r="G63" s="599" t="s">
        <v>216</v>
      </c>
      <c r="H63" s="600"/>
      <c r="I63" s="600"/>
      <c r="J63" s="601"/>
      <c r="K63" s="558">
        <f>ROUND((B65*E65*F65)-G65,2)</f>
        <v>75.08</v>
      </c>
    </row>
    <row r="64" spans="1:11" ht="17.25" customHeight="1">
      <c r="A64" s="556"/>
      <c r="B64" s="612" t="s">
        <v>34</v>
      </c>
      <c r="C64" s="612"/>
      <c r="D64" s="612"/>
      <c r="E64" s="32" t="s">
        <v>32</v>
      </c>
      <c r="F64" s="43" t="s">
        <v>35</v>
      </c>
      <c r="G64" s="612" t="s">
        <v>139</v>
      </c>
      <c r="H64" s="612"/>
      <c r="I64" s="612"/>
      <c r="J64" s="612"/>
      <c r="K64" s="558"/>
    </row>
    <row r="65" spans="1:11" ht="17.25" customHeight="1">
      <c r="A65" s="556"/>
      <c r="B65" s="565">
        <v>2</v>
      </c>
      <c r="C65" s="565"/>
      <c r="D65" s="565"/>
      <c r="E65" s="41">
        <v>22</v>
      </c>
      <c r="F65" s="44">
        <v>3.55</v>
      </c>
      <c r="G65" s="558">
        <f>0.06*K26</f>
        <v>81.1182</v>
      </c>
      <c r="H65" s="558"/>
      <c r="I65" s="558"/>
      <c r="J65" s="558"/>
      <c r="K65" s="558"/>
    </row>
    <row r="66" spans="1:20" ht="17.25" customHeight="1">
      <c r="A66" s="556" t="s">
        <v>3</v>
      </c>
      <c r="B66" s="596" t="s">
        <v>81</v>
      </c>
      <c r="C66" s="597"/>
      <c r="D66" s="597"/>
      <c r="E66" s="597"/>
      <c r="F66" s="598"/>
      <c r="G66" s="599" t="s">
        <v>164</v>
      </c>
      <c r="H66" s="600"/>
      <c r="I66" s="600"/>
      <c r="J66" s="601"/>
      <c r="K66" s="558">
        <f>ROUND((B68-G68)*F68,2)</f>
        <v>347.6</v>
      </c>
      <c r="M66" s="615" t="s">
        <v>132</v>
      </c>
      <c r="N66" s="616"/>
      <c r="O66" s="616"/>
      <c r="P66" s="616"/>
      <c r="Q66" s="616"/>
      <c r="R66" s="616"/>
      <c r="S66" s="616"/>
      <c r="T66" s="617"/>
    </row>
    <row r="67" spans="1:20" ht="17.25" customHeight="1">
      <c r="A67" s="556"/>
      <c r="B67" s="556" t="s">
        <v>82</v>
      </c>
      <c r="C67" s="556"/>
      <c r="D67" s="556"/>
      <c r="E67" s="556"/>
      <c r="F67" s="32" t="s">
        <v>32</v>
      </c>
      <c r="G67" s="556" t="s">
        <v>131</v>
      </c>
      <c r="H67" s="556"/>
      <c r="I67" s="556"/>
      <c r="J67" s="556"/>
      <c r="K67" s="558"/>
      <c r="M67" s="618"/>
      <c r="N67" s="619"/>
      <c r="O67" s="619"/>
      <c r="P67" s="619"/>
      <c r="Q67" s="619"/>
      <c r="R67" s="619"/>
      <c r="S67" s="619"/>
      <c r="T67" s="620"/>
    </row>
    <row r="68" spans="1:20" ht="17.25" customHeight="1">
      <c r="A68" s="556"/>
      <c r="B68" s="604">
        <v>15.93</v>
      </c>
      <c r="C68" s="604"/>
      <c r="D68" s="604"/>
      <c r="E68" s="604"/>
      <c r="F68" s="40">
        <f>E65</f>
        <v>22</v>
      </c>
      <c r="G68" s="602">
        <v>0.13</v>
      </c>
      <c r="H68" s="602"/>
      <c r="I68" s="602"/>
      <c r="J68" s="602"/>
      <c r="K68" s="558"/>
      <c r="M68" s="621"/>
      <c r="N68" s="622"/>
      <c r="O68" s="622"/>
      <c r="P68" s="622"/>
      <c r="Q68" s="622"/>
      <c r="R68" s="622"/>
      <c r="S68" s="622"/>
      <c r="T68" s="623"/>
    </row>
    <row r="69" spans="1:11" ht="17.25" customHeight="1">
      <c r="A69" s="556" t="s">
        <v>5</v>
      </c>
      <c r="B69" s="596" t="s">
        <v>31</v>
      </c>
      <c r="C69" s="597"/>
      <c r="D69" s="597"/>
      <c r="E69" s="597"/>
      <c r="F69" s="598"/>
      <c r="G69" s="599" t="s">
        <v>164</v>
      </c>
      <c r="H69" s="600"/>
      <c r="I69" s="600"/>
      <c r="J69" s="601"/>
      <c r="K69" s="36"/>
    </row>
    <row r="70" spans="1:11" ht="17.25" customHeight="1">
      <c r="A70" s="556"/>
      <c r="B70" s="556" t="s">
        <v>82</v>
      </c>
      <c r="C70" s="556"/>
      <c r="D70" s="556"/>
      <c r="E70" s="556"/>
      <c r="F70" s="556"/>
      <c r="G70" s="556" t="s">
        <v>33</v>
      </c>
      <c r="H70" s="556"/>
      <c r="I70" s="556"/>
      <c r="J70" s="556"/>
      <c r="K70" s="558">
        <f>B71</f>
        <v>110.94</v>
      </c>
    </row>
    <row r="71" spans="1:11" ht="17.25" customHeight="1">
      <c r="A71" s="556"/>
      <c r="B71" s="605">
        <v>110.94</v>
      </c>
      <c r="C71" s="605"/>
      <c r="D71" s="605"/>
      <c r="E71" s="605"/>
      <c r="F71" s="605"/>
      <c r="G71" s="605">
        <v>0</v>
      </c>
      <c r="H71" s="605"/>
      <c r="I71" s="605"/>
      <c r="J71" s="605"/>
      <c r="K71" s="558"/>
    </row>
    <row r="72" spans="1:11" ht="17.25" customHeight="1">
      <c r="A72" s="556" t="s">
        <v>6</v>
      </c>
      <c r="B72" s="596" t="s">
        <v>165</v>
      </c>
      <c r="C72" s="597"/>
      <c r="D72" s="597"/>
      <c r="E72" s="597"/>
      <c r="F72" s="598"/>
      <c r="G72" s="599" t="s">
        <v>164</v>
      </c>
      <c r="H72" s="600"/>
      <c r="I72" s="600"/>
      <c r="J72" s="601"/>
      <c r="K72" s="602">
        <f>B74-G74</f>
        <v>28</v>
      </c>
    </row>
    <row r="73" spans="1:11" ht="17.25" customHeight="1">
      <c r="A73" s="556"/>
      <c r="B73" s="603" t="s">
        <v>166</v>
      </c>
      <c r="C73" s="603"/>
      <c r="D73" s="603"/>
      <c r="E73" s="603"/>
      <c r="F73" s="603"/>
      <c r="G73" s="556" t="s">
        <v>33</v>
      </c>
      <c r="H73" s="556"/>
      <c r="I73" s="556"/>
      <c r="J73" s="556"/>
      <c r="K73" s="602"/>
    </row>
    <row r="74" spans="1:11" ht="17.25" customHeight="1">
      <c r="A74" s="556"/>
      <c r="B74" s="604">
        <v>28</v>
      </c>
      <c r="C74" s="604"/>
      <c r="D74" s="604"/>
      <c r="E74" s="604"/>
      <c r="F74" s="604"/>
      <c r="G74" s="604">
        <v>0</v>
      </c>
      <c r="H74" s="604"/>
      <c r="I74" s="604"/>
      <c r="J74" s="604"/>
      <c r="K74" s="602"/>
    </row>
    <row r="75" spans="1:20" ht="17.25" customHeight="1">
      <c r="A75" s="556" t="s">
        <v>8</v>
      </c>
      <c r="B75" s="596" t="s">
        <v>129</v>
      </c>
      <c r="C75" s="597"/>
      <c r="D75" s="597"/>
      <c r="E75" s="597"/>
      <c r="F75" s="598"/>
      <c r="G75" s="599" t="s">
        <v>217</v>
      </c>
      <c r="H75" s="600"/>
      <c r="I75" s="600"/>
      <c r="J75" s="601"/>
      <c r="K75" s="602">
        <f>F77*G77</f>
        <v>0.12468</v>
      </c>
      <c r="M75" s="606" t="s">
        <v>136</v>
      </c>
      <c r="N75" s="607"/>
      <c r="O75" s="607"/>
      <c r="P75" s="607"/>
      <c r="Q75" s="607"/>
      <c r="R75" s="607"/>
      <c r="S75" s="607"/>
      <c r="T75" s="608"/>
    </row>
    <row r="76" spans="1:20" ht="17.25" customHeight="1">
      <c r="A76" s="556"/>
      <c r="B76" s="603" t="s">
        <v>133</v>
      </c>
      <c r="C76" s="603"/>
      <c r="D76" s="603"/>
      <c r="E76" s="603"/>
      <c r="F76" s="34" t="s">
        <v>134</v>
      </c>
      <c r="G76" s="612" t="s">
        <v>135</v>
      </c>
      <c r="H76" s="612"/>
      <c r="I76" s="612"/>
      <c r="J76" s="612"/>
      <c r="K76" s="602"/>
      <c r="M76" s="609"/>
      <c r="N76" s="610"/>
      <c r="O76" s="610"/>
      <c r="P76" s="610"/>
      <c r="Q76" s="610"/>
      <c r="R76" s="610"/>
      <c r="S76" s="610"/>
      <c r="T76" s="611"/>
    </row>
    <row r="77" spans="1:20" ht="17.25" customHeight="1">
      <c r="A77" s="556"/>
      <c r="B77" s="613">
        <f>K17</f>
        <v>1039</v>
      </c>
      <c r="C77" s="613"/>
      <c r="D77" s="613"/>
      <c r="E77" s="613"/>
      <c r="F77" s="33">
        <f>B77*0.2</f>
        <v>207.8</v>
      </c>
      <c r="G77" s="614">
        <v>0.0006</v>
      </c>
      <c r="H77" s="614"/>
      <c r="I77" s="614"/>
      <c r="J77" s="614"/>
      <c r="K77" s="602"/>
      <c r="M77" s="609"/>
      <c r="N77" s="610"/>
      <c r="O77" s="610"/>
      <c r="P77" s="610"/>
      <c r="Q77" s="610"/>
      <c r="R77" s="610"/>
      <c r="S77" s="610"/>
      <c r="T77" s="611"/>
    </row>
    <row r="78" spans="1:20" ht="17.25" customHeight="1">
      <c r="A78" s="556" t="s">
        <v>10</v>
      </c>
      <c r="B78" s="596" t="s">
        <v>130</v>
      </c>
      <c r="C78" s="597"/>
      <c r="D78" s="597"/>
      <c r="E78" s="597"/>
      <c r="F78" s="598"/>
      <c r="G78" s="599" t="s">
        <v>218</v>
      </c>
      <c r="H78" s="600"/>
      <c r="I78" s="600"/>
      <c r="J78" s="601"/>
      <c r="K78" s="602">
        <f>F80-G80</f>
        <v>3.3180000000000005</v>
      </c>
      <c r="M78" s="27"/>
      <c r="N78" s="27"/>
      <c r="O78" s="27"/>
      <c r="P78" s="27"/>
      <c r="Q78" s="27"/>
      <c r="R78" s="27"/>
      <c r="S78" s="27"/>
      <c r="T78" s="27"/>
    </row>
    <row r="79" spans="1:11" ht="17.25" customHeight="1">
      <c r="A79" s="556"/>
      <c r="B79" s="603" t="s">
        <v>137</v>
      </c>
      <c r="C79" s="603"/>
      <c r="D79" s="603"/>
      <c r="E79" s="603"/>
      <c r="F79" s="34" t="s">
        <v>138</v>
      </c>
      <c r="G79" s="556" t="s">
        <v>33</v>
      </c>
      <c r="H79" s="556"/>
      <c r="I79" s="556"/>
      <c r="J79" s="556"/>
      <c r="K79" s="602"/>
    </row>
    <row r="80" spans="1:11" ht="17.25" customHeight="1">
      <c r="A80" s="556"/>
      <c r="B80" s="604">
        <v>44.24</v>
      </c>
      <c r="C80" s="604"/>
      <c r="D80" s="604"/>
      <c r="E80" s="604"/>
      <c r="F80" s="33">
        <f>B80/12</f>
        <v>3.686666666666667</v>
      </c>
      <c r="G80" s="604">
        <f>F80*0.1</f>
        <v>0.3686666666666667</v>
      </c>
      <c r="H80" s="604"/>
      <c r="I80" s="604"/>
      <c r="J80" s="604"/>
      <c r="K80" s="602"/>
    </row>
    <row r="81" spans="1:11" ht="17.25" customHeight="1">
      <c r="A81" s="556" t="s">
        <v>11</v>
      </c>
      <c r="B81" s="596" t="s">
        <v>167</v>
      </c>
      <c r="C81" s="597"/>
      <c r="D81" s="597"/>
      <c r="E81" s="597"/>
      <c r="F81" s="598"/>
      <c r="G81" s="599" t="s">
        <v>219</v>
      </c>
      <c r="H81" s="600"/>
      <c r="I81" s="600"/>
      <c r="J81" s="601"/>
      <c r="K81" s="602">
        <f>B83-G83</f>
        <v>9.74</v>
      </c>
    </row>
    <row r="82" spans="1:11" ht="17.25" customHeight="1">
      <c r="A82" s="556"/>
      <c r="B82" s="603" t="s">
        <v>166</v>
      </c>
      <c r="C82" s="603"/>
      <c r="D82" s="603"/>
      <c r="E82" s="603"/>
      <c r="F82" s="603"/>
      <c r="G82" s="556" t="s">
        <v>33</v>
      </c>
      <c r="H82" s="556"/>
      <c r="I82" s="556"/>
      <c r="J82" s="556"/>
      <c r="K82" s="602"/>
    </row>
    <row r="83" spans="1:11" ht="17.25" customHeight="1">
      <c r="A83" s="556"/>
      <c r="B83" s="604">
        <v>9.74</v>
      </c>
      <c r="C83" s="604"/>
      <c r="D83" s="604"/>
      <c r="E83" s="604"/>
      <c r="F83" s="604"/>
      <c r="G83" s="604">
        <v>0</v>
      </c>
      <c r="H83" s="604"/>
      <c r="I83" s="604"/>
      <c r="J83" s="604"/>
      <c r="K83" s="602"/>
    </row>
    <row r="84" spans="1:11" ht="17.25" customHeight="1">
      <c r="A84" s="556" t="s">
        <v>12</v>
      </c>
      <c r="B84" s="596" t="s">
        <v>168</v>
      </c>
      <c r="C84" s="597"/>
      <c r="D84" s="597"/>
      <c r="E84" s="597"/>
      <c r="F84" s="598"/>
      <c r="G84" s="599" t="s">
        <v>219</v>
      </c>
      <c r="H84" s="600"/>
      <c r="I84" s="600"/>
      <c r="J84" s="601"/>
      <c r="K84" s="602">
        <f>B86-G86</f>
        <v>3.93</v>
      </c>
    </row>
    <row r="85" spans="1:11" ht="17.25" customHeight="1">
      <c r="A85" s="556"/>
      <c r="B85" s="603" t="s">
        <v>166</v>
      </c>
      <c r="C85" s="603"/>
      <c r="D85" s="603"/>
      <c r="E85" s="603"/>
      <c r="F85" s="603"/>
      <c r="G85" s="556" t="s">
        <v>33</v>
      </c>
      <c r="H85" s="556"/>
      <c r="I85" s="556"/>
      <c r="J85" s="556"/>
      <c r="K85" s="602"/>
    </row>
    <row r="86" spans="1:11" ht="17.25" customHeight="1">
      <c r="A86" s="556"/>
      <c r="B86" s="604">
        <v>3.93</v>
      </c>
      <c r="C86" s="604"/>
      <c r="D86" s="604"/>
      <c r="E86" s="604"/>
      <c r="F86" s="604"/>
      <c r="G86" s="604">
        <v>0</v>
      </c>
      <c r="H86" s="604"/>
      <c r="I86" s="604"/>
      <c r="J86" s="604"/>
      <c r="K86" s="602"/>
    </row>
    <row r="87" spans="1:11" ht="17.25" customHeight="1">
      <c r="A87" s="32" t="s">
        <v>14</v>
      </c>
      <c r="B87" s="605" t="s">
        <v>83</v>
      </c>
      <c r="C87" s="605"/>
      <c r="D87" s="605"/>
      <c r="E87" s="605"/>
      <c r="F87" s="605"/>
      <c r="G87" s="605"/>
      <c r="H87" s="605"/>
      <c r="I87" s="605"/>
      <c r="J87" s="605"/>
      <c r="K87" s="44"/>
    </row>
    <row r="88" spans="1:11" ht="17.25" customHeight="1">
      <c r="A88" s="581" t="s">
        <v>36</v>
      </c>
      <c r="B88" s="581"/>
      <c r="C88" s="581"/>
      <c r="D88" s="581"/>
      <c r="E88" s="581"/>
      <c r="F88" s="581"/>
      <c r="G88" s="581"/>
      <c r="H88" s="581"/>
      <c r="I88" s="581"/>
      <c r="J88" s="581"/>
      <c r="K88" s="12">
        <f>ROUND(SUM(K62:K87),2)</f>
        <v>578.73</v>
      </c>
    </row>
    <row r="89" spans="1:11" ht="17.25" customHeight="1">
      <c r="A89" s="560" t="s">
        <v>37</v>
      </c>
      <c r="B89" s="560"/>
      <c r="C89" s="560"/>
      <c r="D89" s="560"/>
      <c r="E89" s="560"/>
      <c r="F89" s="560"/>
      <c r="G89" s="560"/>
      <c r="H89" s="560"/>
      <c r="I89" s="560"/>
      <c r="J89" s="560"/>
      <c r="K89" s="11" t="e">
        <f>ROUND(SUM(K88,K59,K43),2)</f>
        <v>#N/A</v>
      </c>
    </row>
    <row r="90" spans="1:11" ht="6.75" customHeight="1">
      <c r="A90" s="571"/>
      <c r="B90" s="571"/>
      <c r="C90" s="571"/>
      <c r="D90" s="571"/>
      <c r="E90" s="571"/>
      <c r="F90" s="571"/>
      <c r="G90" s="571"/>
      <c r="H90" s="571"/>
      <c r="I90" s="571"/>
      <c r="J90" s="571"/>
      <c r="K90" s="571"/>
    </row>
    <row r="91" spans="1:20" ht="17.25" customHeight="1">
      <c r="A91" s="560" t="s">
        <v>38</v>
      </c>
      <c r="B91" s="560"/>
      <c r="C91" s="560"/>
      <c r="D91" s="560"/>
      <c r="E91" s="560"/>
      <c r="F91" s="560"/>
      <c r="G91" s="560"/>
      <c r="H91" s="560"/>
      <c r="I91" s="560"/>
      <c r="J91" s="560"/>
      <c r="K91" s="560"/>
      <c r="M91" s="562" t="s">
        <v>109</v>
      </c>
      <c r="N91" s="563"/>
      <c r="O91" s="563"/>
      <c r="P91" s="563"/>
      <c r="Q91" s="563"/>
      <c r="R91" s="563"/>
      <c r="S91" s="563"/>
      <c r="T91" s="564"/>
    </row>
    <row r="92" spans="1:20" ht="17.25" customHeight="1">
      <c r="A92" s="595" t="s">
        <v>68</v>
      </c>
      <c r="B92" s="595"/>
      <c r="C92" s="595"/>
      <c r="D92" s="595"/>
      <c r="E92" s="595"/>
      <c r="F92" s="595"/>
      <c r="G92" s="595"/>
      <c r="H92" s="595"/>
      <c r="I92" s="595"/>
      <c r="J92" s="595"/>
      <c r="K92" s="11">
        <f>K35</f>
        <v>1351.97</v>
      </c>
      <c r="M92" s="568"/>
      <c r="N92" s="569"/>
      <c r="O92" s="569"/>
      <c r="P92" s="569"/>
      <c r="Q92" s="569"/>
      <c r="R92" s="569"/>
      <c r="S92" s="569"/>
      <c r="T92" s="570"/>
    </row>
    <row r="93" spans="1:20" ht="17.25" customHeight="1">
      <c r="A93" s="595" t="s">
        <v>79</v>
      </c>
      <c r="B93" s="595"/>
      <c r="C93" s="595"/>
      <c r="D93" s="595"/>
      <c r="E93" s="595"/>
      <c r="F93" s="595"/>
      <c r="G93" s="595"/>
      <c r="H93" s="595"/>
      <c r="I93" s="595"/>
      <c r="J93" s="595"/>
      <c r="K93" s="11">
        <f>K43</f>
        <v>262.82</v>
      </c>
      <c r="M93" s="562" t="s">
        <v>110</v>
      </c>
      <c r="N93" s="563"/>
      <c r="O93" s="563"/>
      <c r="P93" s="563"/>
      <c r="Q93" s="563"/>
      <c r="R93" s="563"/>
      <c r="S93" s="563"/>
      <c r="T93" s="564"/>
    </row>
    <row r="94" spans="1:20" ht="17.25" customHeight="1">
      <c r="A94" s="595" t="s">
        <v>80</v>
      </c>
      <c r="B94" s="595"/>
      <c r="C94" s="595"/>
      <c r="D94" s="595"/>
      <c r="E94" s="595"/>
      <c r="F94" s="595"/>
      <c r="G94" s="595"/>
      <c r="H94" s="595"/>
      <c r="I94" s="595"/>
      <c r="J94" s="595"/>
      <c r="K94" s="11">
        <f>SUM(K92:K93)</f>
        <v>1614.79</v>
      </c>
      <c r="M94" s="568"/>
      <c r="N94" s="569"/>
      <c r="O94" s="569"/>
      <c r="P94" s="569"/>
      <c r="Q94" s="569"/>
      <c r="R94" s="569"/>
      <c r="S94" s="569"/>
      <c r="T94" s="570"/>
    </row>
    <row r="95" spans="1:20" ht="17.25" customHeight="1">
      <c r="A95" s="572"/>
      <c r="B95" s="572"/>
      <c r="C95" s="572"/>
      <c r="D95" s="572"/>
      <c r="E95" s="572"/>
      <c r="F95" s="572"/>
      <c r="G95" s="572"/>
      <c r="H95" s="560" t="s">
        <v>19</v>
      </c>
      <c r="I95" s="560"/>
      <c r="J95" s="560"/>
      <c r="K95" s="42" t="s">
        <v>20</v>
      </c>
      <c r="M95" s="562" t="s">
        <v>244</v>
      </c>
      <c r="N95" s="563"/>
      <c r="O95" s="563"/>
      <c r="P95" s="563"/>
      <c r="Q95" s="563"/>
      <c r="R95" s="563"/>
      <c r="S95" s="563"/>
      <c r="T95" s="564"/>
    </row>
    <row r="96" spans="1:20" ht="17.25" customHeight="1">
      <c r="A96" s="32" t="s">
        <v>1</v>
      </c>
      <c r="B96" s="591" t="s">
        <v>39</v>
      </c>
      <c r="C96" s="591"/>
      <c r="D96" s="591"/>
      <c r="E96" s="591"/>
      <c r="F96" s="591"/>
      <c r="G96" s="591"/>
      <c r="H96" s="557">
        <v>0.0046</v>
      </c>
      <c r="I96" s="557"/>
      <c r="J96" s="557"/>
      <c r="K96" s="36" t="e">
        <f>#N/A</f>
        <v>#N/A</v>
      </c>
      <c r="M96" s="587"/>
      <c r="N96" s="588"/>
      <c r="O96" s="588"/>
      <c r="P96" s="588"/>
      <c r="Q96" s="588"/>
      <c r="R96" s="588"/>
      <c r="S96" s="588"/>
      <c r="T96" s="589"/>
    </row>
    <row r="97" spans="1:20" ht="17.25" customHeight="1">
      <c r="A97" s="32" t="s">
        <v>3</v>
      </c>
      <c r="B97" s="591" t="s">
        <v>40</v>
      </c>
      <c r="C97" s="591"/>
      <c r="D97" s="591"/>
      <c r="E97" s="591"/>
      <c r="F97" s="591"/>
      <c r="G97" s="591"/>
      <c r="H97" s="557">
        <v>0.0003</v>
      </c>
      <c r="I97" s="557"/>
      <c r="J97" s="557"/>
      <c r="K97" s="36" t="e">
        <f>#N/A</f>
        <v>#N/A</v>
      </c>
      <c r="M97" s="587"/>
      <c r="N97" s="588"/>
      <c r="O97" s="588"/>
      <c r="P97" s="588"/>
      <c r="Q97" s="588"/>
      <c r="R97" s="588"/>
      <c r="S97" s="588"/>
      <c r="T97" s="589"/>
    </row>
    <row r="98" spans="1:20" ht="22.5" customHeight="1">
      <c r="A98" s="32" t="s">
        <v>5</v>
      </c>
      <c r="B98" s="590" t="s">
        <v>106</v>
      </c>
      <c r="C98" s="590"/>
      <c r="D98" s="590"/>
      <c r="E98" s="590"/>
      <c r="F98" s="590"/>
      <c r="G98" s="590"/>
      <c r="H98" s="557">
        <v>0.0344</v>
      </c>
      <c r="I98" s="557"/>
      <c r="J98" s="557"/>
      <c r="K98" s="36" t="e">
        <f>#N/A</f>
        <v>#N/A</v>
      </c>
      <c r="M98" s="587"/>
      <c r="N98" s="588"/>
      <c r="O98" s="588"/>
      <c r="P98" s="588"/>
      <c r="Q98" s="588"/>
      <c r="R98" s="588"/>
      <c r="S98" s="588"/>
      <c r="T98" s="589"/>
    </row>
    <row r="99" spans="1:20" ht="17.25" customHeight="1">
      <c r="A99" s="32" t="s">
        <v>6</v>
      </c>
      <c r="B99" s="591" t="s">
        <v>41</v>
      </c>
      <c r="C99" s="591"/>
      <c r="D99" s="591"/>
      <c r="E99" s="591"/>
      <c r="F99" s="591"/>
      <c r="G99" s="591"/>
      <c r="H99" s="557">
        <v>0.0194</v>
      </c>
      <c r="I99" s="557"/>
      <c r="J99" s="557"/>
      <c r="K99" s="36" t="e">
        <f>#N/A</f>
        <v>#N/A</v>
      </c>
      <c r="M99" s="587"/>
      <c r="N99" s="588"/>
      <c r="O99" s="588"/>
      <c r="P99" s="588"/>
      <c r="Q99" s="588"/>
      <c r="R99" s="588"/>
      <c r="S99" s="588"/>
      <c r="T99" s="589"/>
    </row>
    <row r="100" spans="1:20" ht="17.25" customHeight="1">
      <c r="A100" s="32" t="s">
        <v>8</v>
      </c>
      <c r="B100" s="591" t="s">
        <v>42</v>
      </c>
      <c r="C100" s="591"/>
      <c r="D100" s="591"/>
      <c r="E100" s="591"/>
      <c r="F100" s="591"/>
      <c r="G100" s="591"/>
      <c r="H100" s="557">
        <v>0.007721200000000002</v>
      </c>
      <c r="I100" s="557"/>
      <c r="J100" s="557"/>
      <c r="K100" s="36" t="e">
        <f>#N/A</f>
        <v>#N/A</v>
      </c>
      <c r="M100" s="568"/>
      <c r="N100" s="569"/>
      <c r="O100" s="569"/>
      <c r="P100" s="569"/>
      <c r="Q100" s="569"/>
      <c r="R100" s="569"/>
      <c r="S100" s="569"/>
      <c r="T100" s="570"/>
    </row>
    <row r="101" spans="1:20" ht="24" customHeight="1">
      <c r="A101" s="32" t="s">
        <v>10</v>
      </c>
      <c r="B101" s="590" t="s">
        <v>107</v>
      </c>
      <c r="C101" s="590"/>
      <c r="D101" s="590"/>
      <c r="E101" s="590"/>
      <c r="F101" s="590"/>
      <c r="G101" s="590"/>
      <c r="H101" s="557">
        <v>0.00024707840000000005</v>
      </c>
      <c r="I101" s="557"/>
      <c r="J101" s="557"/>
      <c r="K101" s="36" t="e">
        <f>#N/A</f>
        <v>#N/A</v>
      </c>
      <c r="M101" s="562" t="s">
        <v>111</v>
      </c>
      <c r="N101" s="563"/>
      <c r="O101" s="563"/>
      <c r="P101" s="563"/>
      <c r="Q101" s="563"/>
      <c r="R101" s="563"/>
      <c r="S101" s="563"/>
      <c r="T101" s="564"/>
    </row>
    <row r="102" spans="1:20" ht="17.25" customHeight="1">
      <c r="A102" s="560" t="s">
        <v>43</v>
      </c>
      <c r="B102" s="560"/>
      <c r="C102" s="560"/>
      <c r="D102" s="560"/>
      <c r="E102" s="560"/>
      <c r="F102" s="560"/>
      <c r="G102" s="560"/>
      <c r="H102" s="594">
        <f>SUM(H96:J101)</f>
        <v>0.0666682784</v>
      </c>
      <c r="I102" s="560"/>
      <c r="J102" s="560"/>
      <c r="K102" s="11" t="e">
        <f>ROUND(SUM(K96:K101),2)</f>
        <v>#N/A</v>
      </c>
      <c r="M102" s="568"/>
      <c r="N102" s="569"/>
      <c r="O102" s="569"/>
      <c r="P102" s="569"/>
      <c r="Q102" s="569"/>
      <c r="R102" s="569"/>
      <c r="S102" s="569"/>
      <c r="T102" s="570"/>
    </row>
    <row r="103" spans="1:20" ht="6.75" customHeight="1">
      <c r="A103" s="571"/>
      <c r="B103" s="571"/>
      <c r="C103" s="571"/>
      <c r="D103" s="571"/>
      <c r="E103" s="571"/>
      <c r="F103" s="571"/>
      <c r="G103" s="571"/>
      <c r="H103" s="571"/>
      <c r="I103" s="571"/>
      <c r="J103" s="571"/>
      <c r="K103" s="571"/>
      <c r="M103" s="562" t="s">
        <v>245</v>
      </c>
      <c r="N103" s="563"/>
      <c r="O103" s="563"/>
      <c r="P103" s="563"/>
      <c r="Q103" s="563"/>
      <c r="R103" s="563"/>
      <c r="S103" s="563"/>
      <c r="T103" s="564"/>
    </row>
    <row r="104" spans="1:20" ht="17.25" customHeight="1">
      <c r="A104" s="560" t="s">
        <v>44</v>
      </c>
      <c r="B104" s="560"/>
      <c r="C104" s="560"/>
      <c r="D104" s="560"/>
      <c r="E104" s="560"/>
      <c r="F104" s="560"/>
      <c r="G104" s="560"/>
      <c r="H104" s="560"/>
      <c r="I104" s="560"/>
      <c r="J104" s="560"/>
      <c r="K104" s="560"/>
      <c r="M104" s="587"/>
      <c r="N104" s="588"/>
      <c r="O104" s="588"/>
      <c r="P104" s="588"/>
      <c r="Q104" s="588"/>
      <c r="R104" s="588"/>
      <c r="S104" s="588"/>
      <c r="T104" s="589"/>
    </row>
    <row r="105" spans="1:20" ht="17.25" customHeight="1">
      <c r="A105" s="581" t="s">
        <v>85</v>
      </c>
      <c r="B105" s="581"/>
      <c r="C105" s="581"/>
      <c r="D105" s="581"/>
      <c r="E105" s="581"/>
      <c r="F105" s="581"/>
      <c r="G105" s="581"/>
      <c r="H105" s="581"/>
      <c r="I105" s="581"/>
      <c r="J105" s="581"/>
      <c r="K105" s="581"/>
      <c r="M105" s="587"/>
      <c r="N105" s="588"/>
      <c r="O105" s="588"/>
      <c r="P105" s="588"/>
      <c r="Q105" s="588"/>
      <c r="R105" s="588"/>
      <c r="S105" s="588"/>
      <c r="T105" s="589"/>
    </row>
    <row r="106" spans="1:20" ht="17.25" customHeight="1">
      <c r="A106" s="595" t="s">
        <v>68</v>
      </c>
      <c r="B106" s="595"/>
      <c r="C106" s="595"/>
      <c r="D106" s="595"/>
      <c r="E106" s="595"/>
      <c r="F106" s="595"/>
      <c r="G106" s="595"/>
      <c r="H106" s="595"/>
      <c r="I106" s="595"/>
      <c r="J106" s="595"/>
      <c r="K106" s="11">
        <f>K35</f>
        <v>1351.97</v>
      </c>
      <c r="M106" s="587"/>
      <c r="N106" s="588"/>
      <c r="O106" s="588"/>
      <c r="P106" s="588"/>
      <c r="Q106" s="588"/>
      <c r="R106" s="588"/>
      <c r="S106" s="588"/>
      <c r="T106" s="589"/>
    </row>
    <row r="107" spans="1:20" ht="17.25" customHeight="1">
      <c r="A107" s="595" t="s">
        <v>79</v>
      </c>
      <c r="B107" s="595"/>
      <c r="C107" s="595"/>
      <c r="D107" s="595"/>
      <c r="E107" s="595"/>
      <c r="F107" s="595"/>
      <c r="G107" s="595"/>
      <c r="H107" s="595"/>
      <c r="I107" s="595"/>
      <c r="J107" s="595"/>
      <c r="K107" s="11">
        <f>K43</f>
        <v>262.82</v>
      </c>
      <c r="M107" s="568"/>
      <c r="N107" s="569"/>
      <c r="O107" s="569"/>
      <c r="P107" s="569"/>
      <c r="Q107" s="569"/>
      <c r="R107" s="569"/>
      <c r="S107" s="569"/>
      <c r="T107" s="570"/>
    </row>
    <row r="108" spans="1:11" ht="17.25" customHeight="1">
      <c r="A108" s="595" t="s">
        <v>80</v>
      </c>
      <c r="B108" s="595"/>
      <c r="C108" s="595"/>
      <c r="D108" s="595"/>
      <c r="E108" s="595"/>
      <c r="F108" s="595"/>
      <c r="G108" s="595"/>
      <c r="H108" s="595"/>
      <c r="I108" s="595"/>
      <c r="J108" s="595"/>
      <c r="K108" s="11">
        <f>SUM(K106:K107)</f>
        <v>1614.79</v>
      </c>
    </row>
    <row r="109" spans="1:11" ht="17.25" customHeight="1">
      <c r="A109" s="572"/>
      <c r="B109" s="572"/>
      <c r="C109" s="572"/>
      <c r="D109" s="572"/>
      <c r="E109" s="572"/>
      <c r="F109" s="572"/>
      <c r="G109" s="572"/>
      <c r="H109" s="560" t="s">
        <v>19</v>
      </c>
      <c r="I109" s="560"/>
      <c r="J109" s="560"/>
      <c r="K109" s="42" t="s">
        <v>20</v>
      </c>
    </row>
    <row r="110" spans="1:11" ht="17.25" customHeight="1">
      <c r="A110" s="32" t="s">
        <v>1</v>
      </c>
      <c r="B110" s="591" t="s">
        <v>86</v>
      </c>
      <c r="C110" s="591"/>
      <c r="D110" s="591"/>
      <c r="E110" s="591"/>
      <c r="F110" s="591"/>
      <c r="G110" s="591"/>
      <c r="H110" s="557">
        <v>0.0833</v>
      </c>
      <c r="I110" s="557"/>
      <c r="J110" s="557"/>
      <c r="K110" s="36">
        <f>ROUND(H110*$K$108,2)</f>
        <v>134.51</v>
      </c>
    </row>
    <row r="111" spans="1:20" ht="17.25" customHeight="1">
      <c r="A111" s="556" t="s">
        <v>3</v>
      </c>
      <c r="B111" s="549" t="s">
        <v>87</v>
      </c>
      <c r="C111" s="549"/>
      <c r="D111" s="549"/>
      <c r="E111" s="549"/>
      <c r="F111" s="549"/>
      <c r="G111" s="549"/>
      <c r="H111" s="549"/>
      <c r="I111" s="549"/>
      <c r="J111" s="549"/>
      <c r="K111" s="558">
        <f>ROUND(H112*K108,2)</f>
        <v>26.32</v>
      </c>
      <c r="M111" s="562" t="s">
        <v>112</v>
      </c>
      <c r="N111" s="563"/>
      <c r="O111" s="563"/>
      <c r="P111" s="563"/>
      <c r="Q111" s="563"/>
      <c r="R111" s="563"/>
      <c r="S111" s="563"/>
      <c r="T111" s="564"/>
    </row>
    <row r="112" spans="1:20" ht="17.25" customHeight="1">
      <c r="A112" s="556"/>
      <c r="B112" s="38" t="s">
        <v>88</v>
      </c>
      <c r="C112" s="38"/>
      <c r="D112" s="38"/>
      <c r="E112" s="38"/>
      <c r="F112" s="592">
        <v>5.96</v>
      </c>
      <c r="G112" s="593"/>
      <c r="H112" s="557">
        <v>0.0163</v>
      </c>
      <c r="I112" s="557"/>
      <c r="J112" s="557"/>
      <c r="K112" s="558"/>
      <c r="M112" s="568"/>
      <c r="N112" s="569"/>
      <c r="O112" s="569"/>
      <c r="P112" s="569"/>
      <c r="Q112" s="569"/>
      <c r="R112" s="569"/>
      <c r="S112" s="569"/>
      <c r="T112" s="570"/>
    </row>
    <row r="113" spans="1:20" ht="17.25" customHeight="1">
      <c r="A113" s="556" t="s">
        <v>5</v>
      </c>
      <c r="B113" s="549" t="s">
        <v>89</v>
      </c>
      <c r="C113" s="549"/>
      <c r="D113" s="549"/>
      <c r="E113" s="549"/>
      <c r="F113" s="549"/>
      <c r="G113" s="549"/>
      <c r="H113" s="549"/>
      <c r="I113" s="549"/>
      <c r="J113" s="549"/>
      <c r="K113" s="558">
        <f>ROUND(H114*K108,2)</f>
        <v>0.24</v>
      </c>
      <c r="M113" s="562" t="s">
        <v>113</v>
      </c>
      <c r="N113" s="563"/>
      <c r="O113" s="563"/>
      <c r="P113" s="563"/>
      <c r="Q113" s="563"/>
      <c r="R113" s="563"/>
      <c r="S113" s="563"/>
      <c r="T113" s="564"/>
    </row>
    <row r="114" spans="1:20" ht="17.25" customHeight="1">
      <c r="A114" s="556"/>
      <c r="B114" s="590" t="s">
        <v>45</v>
      </c>
      <c r="C114" s="590"/>
      <c r="D114" s="590"/>
      <c r="E114" s="590"/>
      <c r="F114" s="590"/>
      <c r="G114" s="590"/>
      <c r="H114" s="583">
        <v>0.00015</v>
      </c>
      <c r="I114" s="583"/>
      <c r="J114" s="583"/>
      <c r="K114" s="558"/>
      <c r="M114" s="568"/>
      <c r="N114" s="569"/>
      <c r="O114" s="569"/>
      <c r="P114" s="569"/>
      <c r="Q114" s="569"/>
      <c r="R114" s="569"/>
      <c r="S114" s="569"/>
      <c r="T114" s="570"/>
    </row>
    <row r="115" spans="1:20" ht="17.25" customHeight="1">
      <c r="A115" s="556" t="s">
        <v>6</v>
      </c>
      <c r="B115" s="549" t="s">
        <v>90</v>
      </c>
      <c r="C115" s="549"/>
      <c r="D115" s="549"/>
      <c r="E115" s="549"/>
      <c r="F115" s="549"/>
      <c r="G115" s="549"/>
      <c r="H115" s="549"/>
      <c r="I115" s="549"/>
      <c r="J115" s="549"/>
      <c r="K115" s="558">
        <f>ROUND(H116*K108,2)</f>
        <v>5.33</v>
      </c>
      <c r="M115" s="562" t="s">
        <v>114</v>
      </c>
      <c r="N115" s="563"/>
      <c r="O115" s="563"/>
      <c r="P115" s="563"/>
      <c r="Q115" s="563"/>
      <c r="R115" s="563"/>
      <c r="S115" s="563"/>
      <c r="T115" s="564"/>
    </row>
    <row r="116" spans="1:20" ht="15" customHeight="1">
      <c r="A116" s="556"/>
      <c r="B116" s="590" t="s">
        <v>45</v>
      </c>
      <c r="C116" s="590"/>
      <c r="D116" s="590"/>
      <c r="E116" s="590"/>
      <c r="F116" s="590"/>
      <c r="G116" s="590"/>
      <c r="H116" s="557">
        <v>0.0033</v>
      </c>
      <c r="I116" s="557"/>
      <c r="J116" s="557"/>
      <c r="K116" s="558"/>
      <c r="M116" s="587"/>
      <c r="N116" s="588"/>
      <c r="O116" s="588"/>
      <c r="P116" s="588"/>
      <c r="Q116" s="588"/>
      <c r="R116" s="588"/>
      <c r="S116" s="588"/>
      <c r="T116" s="589"/>
    </row>
    <row r="117" spans="1:20" ht="18" customHeight="1">
      <c r="A117" s="556" t="s">
        <v>8</v>
      </c>
      <c r="B117" s="549" t="s">
        <v>91</v>
      </c>
      <c r="C117" s="549"/>
      <c r="D117" s="549"/>
      <c r="E117" s="549"/>
      <c r="F117" s="549"/>
      <c r="G117" s="549"/>
      <c r="H117" s="549"/>
      <c r="I117" s="549"/>
      <c r="J117" s="549"/>
      <c r="K117" s="558">
        <f>ROUND(H118*K108,2)</f>
        <v>0.89</v>
      </c>
      <c r="M117" s="587"/>
      <c r="N117" s="588"/>
      <c r="O117" s="588"/>
      <c r="P117" s="588"/>
      <c r="Q117" s="588"/>
      <c r="R117" s="588"/>
      <c r="S117" s="588"/>
      <c r="T117" s="589"/>
    </row>
    <row r="118" spans="1:20" ht="18" customHeight="1">
      <c r="A118" s="556"/>
      <c r="B118" s="591" t="s">
        <v>46</v>
      </c>
      <c r="C118" s="591"/>
      <c r="D118" s="591"/>
      <c r="E118" s="591"/>
      <c r="F118" s="591"/>
      <c r="G118" s="591"/>
      <c r="H118" s="583">
        <v>0.00055</v>
      </c>
      <c r="I118" s="583"/>
      <c r="J118" s="583"/>
      <c r="K118" s="558"/>
      <c r="M118" s="568"/>
      <c r="N118" s="569"/>
      <c r="O118" s="569"/>
      <c r="P118" s="569"/>
      <c r="Q118" s="569"/>
      <c r="R118" s="569"/>
      <c r="S118" s="569"/>
      <c r="T118" s="570"/>
    </row>
    <row r="119" spans="1:20" ht="18" customHeight="1">
      <c r="A119" s="32" t="s">
        <v>10</v>
      </c>
      <c r="B119" s="580" t="s">
        <v>104</v>
      </c>
      <c r="C119" s="580"/>
      <c r="D119" s="580"/>
      <c r="E119" s="580"/>
      <c r="F119" s="580"/>
      <c r="G119" s="580"/>
      <c r="H119" s="580"/>
      <c r="I119" s="580"/>
      <c r="J119" s="580"/>
      <c r="K119" s="44"/>
      <c r="M119" s="562" t="s">
        <v>115</v>
      </c>
      <c r="N119" s="563"/>
      <c r="O119" s="563"/>
      <c r="P119" s="563"/>
      <c r="Q119" s="563"/>
      <c r="R119" s="563"/>
      <c r="S119" s="563"/>
      <c r="T119" s="564"/>
    </row>
    <row r="120" spans="1:20" ht="18" customHeight="1">
      <c r="A120" s="32"/>
      <c r="B120" s="566" t="s">
        <v>47</v>
      </c>
      <c r="C120" s="566"/>
      <c r="D120" s="566"/>
      <c r="E120" s="566"/>
      <c r="F120" s="566"/>
      <c r="G120" s="566"/>
      <c r="H120" s="585">
        <f>SUM(H110,H112,H114,H116,H118)</f>
        <v>0.10359999999999998</v>
      </c>
      <c r="I120" s="585"/>
      <c r="J120" s="585"/>
      <c r="K120" s="13">
        <f>SUM(K110:K119)</f>
        <v>167.29</v>
      </c>
      <c r="M120" s="568"/>
      <c r="N120" s="569"/>
      <c r="O120" s="569"/>
      <c r="P120" s="569"/>
      <c r="Q120" s="569"/>
      <c r="R120" s="569"/>
      <c r="S120" s="569"/>
      <c r="T120" s="570"/>
    </row>
    <row r="121" spans="1:20" ht="18" customHeight="1">
      <c r="A121" s="32" t="s">
        <v>11</v>
      </c>
      <c r="B121" s="556" t="s">
        <v>48</v>
      </c>
      <c r="C121" s="556"/>
      <c r="D121" s="556"/>
      <c r="E121" s="556"/>
      <c r="F121" s="556"/>
      <c r="G121" s="556"/>
      <c r="H121" s="585">
        <f>H120*I59</f>
        <v>0.0412328</v>
      </c>
      <c r="I121" s="585"/>
      <c r="J121" s="585"/>
      <c r="K121" s="36">
        <f>ROUND(H121*K108,2)</f>
        <v>66.58</v>
      </c>
      <c r="M121" s="28"/>
      <c r="N121" s="28"/>
      <c r="O121" s="28"/>
      <c r="P121" s="28"/>
      <c r="Q121" s="28"/>
      <c r="R121" s="28"/>
      <c r="S121" s="28"/>
      <c r="T121" s="28"/>
    </row>
    <row r="122" spans="1:20" ht="18" customHeight="1">
      <c r="A122" s="581" t="s">
        <v>49</v>
      </c>
      <c r="B122" s="581"/>
      <c r="C122" s="581"/>
      <c r="D122" s="581"/>
      <c r="E122" s="581"/>
      <c r="F122" s="581"/>
      <c r="G122" s="581"/>
      <c r="H122" s="586">
        <f>SUM(H120:J121)</f>
        <v>0.14483279999999998</v>
      </c>
      <c r="I122" s="581"/>
      <c r="J122" s="581"/>
      <c r="K122" s="12">
        <f>SUM(K120:K121)</f>
        <v>233.87</v>
      </c>
      <c r="M122" s="28"/>
      <c r="N122" s="29"/>
      <c r="O122" s="29"/>
      <c r="P122" s="29"/>
      <c r="Q122" s="29"/>
      <c r="R122" s="29"/>
      <c r="S122" s="29"/>
      <c r="T122" s="29"/>
    </row>
    <row r="123" spans="1:20" s="2" customFormat="1" ht="5.25" customHeight="1">
      <c r="A123" s="584"/>
      <c r="B123" s="584"/>
      <c r="C123" s="584"/>
      <c r="D123" s="584"/>
      <c r="E123" s="584"/>
      <c r="F123" s="584"/>
      <c r="G123" s="584"/>
      <c r="H123" s="584"/>
      <c r="I123" s="584"/>
      <c r="J123" s="584"/>
      <c r="K123" s="584"/>
      <c r="M123" s="22"/>
      <c r="N123" s="22"/>
      <c r="O123" s="22"/>
      <c r="P123" s="22"/>
      <c r="Q123" s="22"/>
      <c r="R123" s="22"/>
      <c r="S123" s="22"/>
      <c r="T123" s="22"/>
    </row>
    <row r="124" spans="1:11" ht="17.25" customHeight="1">
      <c r="A124" s="566" t="s">
        <v>92</v>
      </c>
      <c r="B124" s="566"/>
      <c r="C124" s="566"/>
      <c r="D124" s="566"/>
      <c r="E124" s="566"/>
      <c r="F124" s="566"/>
      <c r="G124" s="566"/>
      <c r="H124" s="566"/>
      <c r="I124" s="566"/>
      <c r="J124" s="566"/>
      <c r="K124" s="566"/>
    </row>
    <row r="125" spans="1:11" ht="17.25" customHeight="1">
      <c r="A125" s="572"/>
      <c r="B125" s="572"/>
      <c r="C125" s="572"/>
      <c r="D125" s="572"/>
      <c r="E125" s="572"/>
      <c r="F125" s="572"/>
      <c r="G125" s="572"/>
      <c r="H125" s="572"/>
      <c r="I125" s="572"/>
      <c r="J125" s="572"/>
      <c r="K125" s="42" t="s">
        <v>20</v>
      </c>
    </row>
    <row r="126" spans="1:11" ht="17.25" customHeight="1">
      <c r="A126" s="32" t="s">
        <v>1</v>
      </c>
      <c r="B126" s="549" t="s">
        <v>93</v>
      </c>
      <c r="C126" s="549"/>
      <c r="D126" s="549"/>
      <c r="E126" s="549"/>
      <c r="F126" s="549"/>
      <c r="G126" s="549"/>
      <c r="H126" s="549"/>
      <c r="I126" s="549"/>
      <c r="J126" s="549"/>
      <c r="K126" s="36">
        <v>0</v>
      </c>
    </row>
    <row r="127" spans="1:11" ht="17.25" customHeight="1">
      <c r="A127" s="581" t="s">
        <v>50</v>
      </c>
      <c r="B127" s="581"/>
      <c r="C127" s="581"/>
      <c r="D127" s="581"/>
      <c r="E127" s="581"/>
      <c r="F127" s="581"/>
      <c r="G127" s="581"/>
      <c r="H127" s="581"/>
      <c r="I127" s="581"/>
      <c r="J127" s="581"/>
      <c r="K127" s="12">
        <f>K126</f>
        <v>0</v>
      </c>
    </row>
    <row r="128" spans="1:11" ht="5.25" customHeight="1">
      <c r="A128" s="582"/>
      <c r="B128" s="582"/>
      <c r="C128" s="582"/>
      <c r="D128" s="582"/>
      <c r="E128" s="582"/>
      <c r="F128" s="582"/>
      <c r="G128" s="582"/>
      <c r="H128" s="582"/>
      <c r="I128" s="582"/>
      <c r="J128" s="582"/>
      <c r="K128" s="582"/>
    </row>
    <row r="129" spans="1:11" ht="17.25" customHeight="1">
      <c r="A129" s="560" t="s">
        <v>51</v>
      </c>
      <c r="B129" s="560"/>
      <c r="C129" s="560"/>
      <c r="D129" s="560"/>
      <c r="E129" s="560"/>
      <c r="F129" s="560"/>
      <c r="G129" s="560"/>
      <c r="H129" s="560"/>
      <c r="I129" s="560"/>
      <c r="J129" s="560"/>
      <c r="K129" s="11">
        <f>SUM(K122,K127)</f>
        <v>233.87</v>
      </c>
    </row>
    <row r="130" spans="1:11" ht="6.75" customHeight="1">
      <c r="A130" s="571"/>
      <c r="B130" s="571"/>
      <c r="C130" s="571"/>
      <c r="D130" s="571"/>
      <c r="E130" s="571"/>
      <c r="F130" s="571"/>
      <c r="G130" s="571"/>
      <c r="H130" s="571"/>
      <c r="I130" s="571"/>
      <c r="J130" s="571"/>
      <c r="K130" s="571"/>
    </row>
    <row r="131" spans="1:11" ht="17.25" customHeight="1">
      <c r="A131" s="560" t="s">
        <v>52</v>
      </c>
      <c r="B131" s="560"/>
      <c r="C131" s="560"/>
      <c r="D131" s="560"/>
      <c r="E131" s="560"/>
      <c r="F131" s="560"/>
      <c r="G131" s="560"/>
      <c r="H131" s="560"/>
      <c r="I131" s="560"/>
      <c r="J131" s="560"/>
      <c r="K131" s="560"/>
    </row>
    <row r="132" spans="1:11" ht="17.25" customHeight="1">
      <c r="A132" s="32" t="s">
        <v>1</v>
      </c>
      <c r="B132" s="549" t="s">
        <v>188</v>
      </c>
      <c r="C132" s="549"/>
      <c r="D132" s="549"/>
      <c r="E132" s="549"/>
      <c r="F132" s="549"/>
      <c r="G132" s="549"/>
      <c r="H132" s="549"/>
      <c r="I132" s="549"/>
      <c r="J132" s="549"/>
      <c r="K132" s="14">
        <v>35.7275</v>
      </c>
    </row>
    <row r="133" spans="1:11" ht="17.25" customHeight="1">
      <c r="A133" s="32" t="s">
        <v>3</v>
      </c>
      <c r="B133" s="61" t="s">
        <v>189</v>
      </c>
      <c r="C133" s="61"/>
      <c r="D133" s="61"/>
      <c r="E133" s="61"/>
      <c r="F133" s="574" t="s">
        <v>190</v>
      </c>
      <c r="G133" s="575"/>
      <c r="H133" s="575"/>
      <c r="I133" s="576"/>
      <c r="J133" s="63">
        <v>0.12</v>
      </c>
      <c r="K133" s="14" t="e">
        <f>(K35+K89+K102+K129+K132)*J133</f>
        <v>#N/A</v>
      </c>
    </row>
    <row r="134" spans="1:11" ht="17.25" customHeight="1">
      <c r="A134" s="32" t="s">
        <v>5</v>
      </c>
      <c r="B134" s="580" t="s">
        <v>22</v>
      </c>
      <c r="C134" s="580"/>
      <c r="D134" s="580"/>
      <c r="E134" s="580"/>
      <c r="F134" s="580"/>
      <c r="G134" s="580"/>
      <c r="H134" s="580"/>
      <c r="I134" s="580"/>
      <c r="J134" s="580"/>
      <c r="K134" s="44"/>
    </row>
    <row r="135" spans="1:11" ht="17.25" customHeight="1">
      <c r="A135" s="560" t="s">
        <v>53</v>
      </c>
      <c r="B135" s="560"/>
      <c r="C135" s="560"/>
      <c r="D135" s="560"/>
      <c r="E135" s="560"/>
      <c r="F135" s="560"/>
      <c r="G135" s="560"/>
      <c r="H135" s="560"/>
      <c r="I135" s="560"/>
      <c r="J135" s="560"/>
      <c r="K135" s="15" t="e">
        <f>SUM(K132:K134)</f>
        <v>#N/A</v>
      </c>
    </row>
    <row r="136" spans="1:20" s="5" customFormat="1" ht="17.25" customHeight="1">
      <c r="A136" s="577"/>
      <c r="B136" s="578"/>
      <c r="C136" s="578"/>
      <c r="D136" s="578"/>
      <c r="E136" s="578"/>
      <c r="F136" s="578"/>
      <c r="G136" s="578"/>
      <c r="H136" s="578"/>
      <c r="I136" s="578"/>
      <c r="J136" s="578"/>
      <c r="K136" s="579"/>
      <c r="M136" s="22"/>
      <c r="N136" s="22"/>
      <c r="O136" s="22"/>
      <c r="P136" s="22"/>
      <c r="Q136" s="22"/>
      <c r="R136" s="22"/>
      <c r="S136" s="22"/>
      <c r="T136" s="22"/>
    </row>
    <row r="137" spans="1:13" ht="17.25" customHeight="1">
      <c r="A137" s="560" t="s">
        <v>94</v>
      </c>
      <c r="B137" s="560"/>
      <c r="C137" s="560"/>
      <c r="D137" s="560"/>
      <c r="E137" s="560"/>
      <c r="F137" s="560"/>
      <c r="G137" s="560"/>
      <c r="H137" s="560"/>
      <c r="I137" s="560"/>
      <c r="J137" s="560"/>
      <c r="K137" s="11" t="e">
        <f>SUM(K35,K89,K102,K129,K135)</f>
        <v>#N/A</v>
      </c>
      <c r="M137" s="30"/>
    </row>
    <row r="138" spans="1:20" s="5" customFormat="1" ht="17.25" customHeight="1">
      <c r="A138" s="577"/>
      <c r="B138" s="578"/>
      <c r="C138" s="578"/>
      <c r="D138" s="578"/>
      <c r="E138" s="578"/>
      <c r="F138" s="578"/>
      <c r="G138" s="578"/>
      <c r="H138" s="578"/>
      <c r="I138" s="578"/>
      <c r="J138" s="578"/>
      <c r="K138" s="579"/>
      <c r="M138" s="22"/>
      <c r="N138" s="22"/>
      <c r="O138" s="22"/>
      <c r="P138" s="22"/>
      <c r="Q138" s="22"/>
      <c r="R138" s="22"/>
      <c r="S138" s="22"/>
      <c r="T138" s="22"/>
    </row>
    <row r="139" spans="1:11" ht="6.75" customHeight="1">
      <c r="A139" s="571"/>
      <c r="B139" s="571"/>
      <c r="C139" s="571"/>
      <c r="D139" s="571"/>
      <c r="E139" s="571"/>
      <c r="F139" s="571"/>
      <c r="G139" s="571"/>
      <c r="H139" s="571"/>
      <c r="I139" s="571"/>
      <c r="J139" s="571"/>
      <c r="K139" s="571"/>
    </row>
    <row r="140" spans="1:11" ht="17.25" customHeight="1">
      <c r="A140" s="560" t="s">
        <v>54</v>
      </c>
      <c r="B140" s="560"/>
      <c r="C140" s="560"/>
      <c r="D140" s="560"/>
      <c r="E140" s="560"/>
      <c r="F140" s="560"/>
      <c r="G140" s="560"/>
      <c r="H140" s="560"/>
      <c r="I140" s="560"/>
      <c r="J140" s="560"/>
      <c r="K140" s="560"/>
    </row>
    <row r="141" spans="1:11" ht="17.25" customHeight="1">
      <c r="A141" s="572"/>
      <c r="B141" s="572"/>
      <c r="C141" s="572"/>
      <c r="D141" s="572"/>
      <c r="E141" s="572"/>
      <c r="F141" s="572"/>
      <c r="G141" s="560" t="s">
        <v>25</v>
      </c>
      <c r="H141" s="560"/>
      <c r="I141" s="573" t="s">
        <v>55</v>
      </c>
      <c r="J141" s="573"/>
      <c r="K141" s="42" t="s">
        <v>20</v>
      </c>
    </row>
    <row r="142" spans="1:20" ht="17.25" customHeight="1">
      <c r="A142" s="32" t="s">
        <v>1</v>
      </c>
      <c r="B142" s="549" t="s">
        <v>56</v>
      </c>
      <c r="C142" s="549"/>
      <c r="D142" s="549"/>
      <c r="E142" s="549"/>
      <c r="F142" s="549"/>
      <c r="G142" s="552">
        <v>0.03</v>
      </c>
      <c r="H142" s="552"/>
      <c r="I142" s="558" t="e">
        <f>SUM(K35,K89,K102,K129,K135)</f>
        <v>#N/A</v>
      </c>
      <c r="J142" s="558"/>
      <c r="K142" s="36" t="e">
        <f>ROUND(I142*G142,2)</f>
        <v>#N/A</v>
      </c>
      <c r="M142" s="562" t="s">
        <v>183</v>
      </c>
      <c r="N142" s="563"/>
      <c r="O142" s="563"/>
      <c r="P142" s="563"/>
      <c r="Q142" s="563"/>
      <c r="R142" s="563"/>
      <c r="S142" s="563"/>
      <c r="T142" s="564"/>
    </row>
    <row r="143" spans="1:20" ht="17.25" customHeight="1">
      <c r="A143" s="32" t="s">
        <v>3</v>
      </c>
      <c r="B143" s="549" t="s">
        <v>57</v>
      </c>
      <c r="C143" s="549"/>
      <c r="D143" s="549"/>
      <c r="E143" s="549"/>
      <c r="F143" s="549"/>
      <c r="G143" s="552">
        <v>0.0679</v>
      </c>
      <c r="H143" s="552"/>
      <c r="I143" s="558" t="e">
        <f>I142+K142</f>
        <v>#N/A</v>
      </c>
      <c r="J143" s="558"/>
      <c r="K143" s="36" t="e">
        <f>ROUND(I143*G143,2)</f>
        <v>#N/A</v>
      </c>
      <c r="M143" s="568"/>
      <c r="N143" s="569"/>
      <c r="O143" s="569"/>
      <c r="P143" s="569"/>
      <c r="Q143" s="569"/>
      <c r="R143" s="569"/>
      <c r="S143" s="569"/>
      <c r="T143" s="570"/>
    </row>
    <row r="144" spans="1:20" ht="17.25" customHeight="1">
      <c r="A144" s="556" t="s">
        <v>5</v>
      </c>
      <c r="B144" s="556" t="s">
        <v>58</v>
      </c>
      <c r="C144" s="556"/>
      <c r="D144" s="556" t="s">
        <v>59</v>
      </c>
      <c r="E144" s="556"/>
      <c r="F144" s="32" t="s">
        <v>60</v>
      </c>
      <c r="G144" s="552">
        <v>0.0065</v>
      </c>
      <c r="H144" s="552"/>
      <c r="I144" s="558" t="e">
        <f>I143+K143</f>
        <v>#N/A</v>
      </c>
      <c r="J144" s="558"/>
      <c r="K144" s="36" t="e">
        <f>ROUND(($I$144/(1-$G$151)*G144),2)</f>
        <v>#N/A</v>
      </c>
      <c r="M144" s="562" t="s">
        <v>116</v>
      </c>
      <c r="N144" s="563"/>
      <c r="O144" s="563"/>
      <c r="P144" s="563"/>
      <c r="Q144" s="563"/>
      <c r="R144" s="563"/>
      <c r="S144" s="563"/>
      <c r="T144" s="564"/>
    </row>
    <row r="145" spans="1:20" ht="17.25" customHeight="1">
      <c r="A145" s="556"/>
      <c r="B145" s="556"/>
      <c r="C145" s="556"/>
      <c r="D145" s="556"/>
      <c r="E145" s="556"/>
      <c r="F145" s="32" t="s">
        <v>61</v>
      </c>
      <c r="G145" s="552">
        <v>0.03</v>
      </c>
      <c r="H145" s="552"/>
      <c r="I145" s="558"/>
      <c r="J145" s="558"/>
      <c r="K145" s="36" t="e">
        <f>ROUND(($I$144/(1-$G$151)*G145),2)</f>
        <v>#N/A</v>
      </c>
      <c r="M145" s="553" t="s">
        <v>117</v>
      </c>
      <c r="N145" s="554"/>
      <c r="O145" s="554"/>
      <c r="P145" s="554"/>
      <c r="Q145" s="554"/>
      <c r="R145" s="554"/>
      <c r="S145" s="554"/>
      <c r="T145" s="555"/>
    </row>
    <row r="146" spans="1:20" ht="17.25" customHeight="1">
      <c r="A146" s="556"/>
      <c r="B146" s="556"/>
      <c r="C146" s="556"/>
      <c r="D146" s="556"/>
      <c r="E146" s="556"/>
      <c r="F146" s="41" t="s">
        <v>62</v>
      </c>
      <c r="G146" s="552"/>
      <c r="H146" s="552"/>
      <c r="I146" s="558"/>
      <c r="J146" s="558"/>
      <c r="K146" s="36" t="e">
        <f>ROUND(($I$144/(1-$G$151)*G146),2)</f>
        <v>#N/A</v>
      </c>
      <c r="M146" s="553" t="s">
        <v>184</v>
      </c>
      <c r="N146" s="554"/>
      <c r="O146" s="554"/>
      <c r="P146" s="554"/>
      <c r="Q146" s="554"/>
      <c r="R146" s="554"/>
      <c r="S146" s="554"/>
      <c r="T146" s="555"/>
    </row>
    <row r="147" spans="1:11" ht="17.25" customHeight="1">
      <c r="A147" s="556"/>
      <c r="B147" s="556"/>
      <c r="C147" s="556"/>
      <c r="D147" s="556" t="s">
        <v>63</v>
      </c>
      <c r="E147" s="556"/>
      <c r="F147" s="32" t="s">
        <v>64</v>
      </c>
      <c r="G147" s="557">
        <v>0.04</v>
      </c>
      <c r="H147" s="557"/>
      <c r="I147" s="558"/>
      <c r="J147" s="558"/>
      <c r="K147" s="558" t="e">
        <f>ROUND(($I$144/(1-$G$151)*G147),2)</f>
        <v>#N/A</v>
      </c>
    </row>
    <row r="148" spans="1:11" ht="17.25" customHeight="1">
      <c r="A148" s="556"/>
      <c r="B148" s="556"/>
      <c r="C148" s="556"/>
      <c r="D148" s="556"/>
      <c r="E148" s="556"/>
      <c r="F148" s="16" t="str">
        <f>K11</f>
        <v>Araçatuba / SP</v>
      </c>
      <c r="G148" s="557"/>
      <c r="H148" s="557"/>
      <c r="I148" s="558"/>
      <c r="J148" s="558"/>
      <c r="K148" s="558"/>
    </row>
    <row r="149" spans="1:11" ht="17.25" customHeight="1">
      <c r="A149" s="556"/>
      <c r="B149" s="556"/>
      <c r="C149" s="556"/>
      <c r="D149" s="556"/>
      <c r="E149" s="556"/>
      <c r="F149" s="41" t="s">
        <v>62</v>
      </c>
      <c r="G149" s="552"/>
      <c r="H149" s="552"/>
      <c r="I149" s="558"/>
      <c r="J149" s="558"/>
      <c r="K149" s="36" t="e">
        <f>ROUND(($I$144/(1-$G$151)*G149),2)</f>
        <v>#N/A</v>
      </c>
    </row>
    <row r="150" spans="1:11" ht="17.25" customHeight="1">
      <c r="A150" s="556"/>
      <c r="B150" s="556"/>
      <c r="C150" s="556"/>
      <c r="D150" s="565" t="s">
        <v>65</v>
      </c>
      <c r="E150" s="565"/>
      <c r="F150" s="41"/>
      <c r="G150" s="552"/>
      <c r="H150" s="552"/>
      <c r="I150" s="558"/>
      <c r="J150" s="558"/>
      <c r="K150" s="36" t="e">
        <f>ROUND(($I$144/(1-$G$151)*G150),2)</f>
        <v>#N/A</v>
      </c>
    </row>
    <row r="151" spans="1:13" ht="17.25" customHeight="1">
      <c r="A151" s="556"/>
      <c r="B151" s="566" t="s">
        <v>66</v>
      </c>
      <c r="C151" s="566"/>
      <c r="D151" s="566"/>
      <c r="E151" s="566"/>
      <c r="F151" s="566"/>
      <c r="G151" s="567">
        <f>SUM(G144:H150)</f>
        <v>0.0765</v>
      </c>
      <c r="H151" s="567"/>
      <c r="I151" s="559"/>
      <c r="J151" s="559"/>
      <c r="K151" s="17"/>
      <c r="M151" s="31"/>
    </row>
    <row r="152" spans="1:11" ht="17.25" customHeight="1">
      <c r="A152" s="560" t="s">
        <v>67</v>
      </c>
      <c r="B152" s="560"/>
      <c r="C152" s="560"/>
      <c r="D152" s="560"/>
      <c r="E152" s="560"/>
      <c r="F152" s="560"/>
      <c r="G152" s="560"/>
      <c r="H152" s="560"/>
      <c r="I152" s="561">
        <f>((1+G142)*(1+G143))/(1-G151)-1</f>
        <v>0.19105251759610198</v>
      </c>
      <c r="J152" s="561"/>
      <c r="K152" s="11" t="e">
        <f>ROUND(SUM(K142:K150),2)</f>
        <v>#N/A</v>
      </c>
    </row>
    <row r="153" spans="1:11" ht="6" customHeight="1">
      <c r="A153" s="551"/>
      <c r="B153" s="551"/>
      <c r="C153" s="551"/>
      <c r="D153" s="551"/>
      <c r="E153" s="551"/>
      <c r="F153" s="551"/>
      <c r="G153" s="551"/>
      <c r="H153" s="551"/>
      <c r="I153" s="551"/>
      <c r="J153" s="551"/>
      <c r="K153" s="551"/>
    </row>
    <row r="154" spans="1:11" ht="19.5" customHeight="1">
      <c r="A154" s="550" t="s">
        <v>105</v>
      </c>
      <c r="B154" s="550"/>
      <c r="C154" s="550"/>
      <c r="D154" s="550"/>
      <c r="E154" s="550"/>
      <c r="F154" s="550"/>
      <c r="G154" s="550"/>
      <c r="H154" s="550"/>
      <c r="I154" s="550"/>
      <c r="J154" s="550"/>
      <c r="K154" s="39" t="s">
        <v>20</v>
      </c>
    </row>
    <row r="155" spans="1:11" ht="17.25" customHeight="1">
      <c r="A155" s="32" t="s">
        <v>1</v>
      </c>
      <c r="B155" s="549" t="s">
        <v>68</v>
      </c>
      <c r="C155" s="549"/>
      <c r="D155" s="549"/>
      <c r="E155" s="549"/>
      <c r="F155" s="549"/>
      <c r="G155" s="549"/>
      <c r="H155" s="549"/>
      <c r="I155" s="549"/>
      <c r="J155" s="549"/>
      <c r="K155" s="36">
        <f>K35</f>
        <v>1351.97</v>
      </c>
    </row>
    <row r="156" spans="1:11" ht="17.25" customHeight="1">
      <c r="A156" s="32" t="s">
        <v>3</v>
      </c>
      <c r="B156" s="549" t="s">
        <v>69</v>
      </c>
      <c r="C156" s="549"/>
      <c r="D156" s="549"/>
      <c r="E156" s="549"/>
      <c r="F156" s="549"/>
      <c r="G156" s="549"/>
      <c r="H156" s="549"/>
      <c r="I156" s="549"/>
      <c r="J156" s="549"/>
      <c r="K156" s="36" t="e">
        <f>K89</f>
        <v>#N/A</v>
      </c>
    </row>
    <row r="157" spans="1:11" ht="17.25" customHeight="1">
      <c r="A157" s="32" t="s">
        <v>5</v>
      </c>
      <c r="B157" s="549" t="s">
        <v>70</v>
      </c>
      <c r="C157" s="549"/>
      <c r="D157" s="549"/>
      <c r="E157" s="549"/>
      <c r="F157" s="549"/>
      <c r="G157" s="549"/>
      <c r="H157" s="549"/>
      <c r="I157" s="549"/>
      <c r="J157" s="549"/>
      <c r="K157" s="36" t="e">
        <f>K102</f>
        <v>#N/A</v>
      </c>
    </row>
    <row r="158" spans="1:11" ht="17.25" customHeight="1">
      <c r="A158" s="32" t="s">
        <v>6</v>
      </c>
      <c r="B158" s="549" t="s">
        <v>71</v>
      </c>
      <c r="C158" s="549"/>
      <c r="D158" s="549"/>
      <c r="E158" s="549"/>
      <c r="F158" s="549"/>
      <c r="G158" s="549"/>
      <c r="H158" s="549"/>
      <c r="I158" s="549"/>
      <c r="J158" s="549"/>
      <c r="K158" s="36">
        <f>K129</f>
        <v>233.87</v>
      </c>
    </row>
    <row r="159" spans="1:11" ht="17.25" customHeight="1">
      <c r="A159" s="32" t="s">
        <v>8</v>
      </c>
      <c r="B159" s="549" t="s">
        <v>72</v>
      </c>
      <c r="C159" s="549"/>
      <c r="D159" s="549"/>
      <c r="E159" s="549"/>
      <c r="F159" s="549"/>
      <c r="G159" s="549"/>
      <c r="H159" s="549"/>
      <c r="I159" s="549"/>
      <c r="J159" s="549"/>
      <c r="K159" s="36" t="e">
        <f>K135</f>
        <v>#N/A</v>
      </c>
    </row>
    <row r="160" spans="1:11" ht="17.25" customHeight="1">
      <c r="A160" s="32" t="s">
        <v>10</v>
      </c>
      <c r="B160" s="549" t="s">
        <v>73</v>
      </c>
      <c r="C160" s="549"/>
      <c r="D160" s="549"/>
      <c r="E160" s="549"/>
      <c r="F160" s="549"/>
      <c r="G160" s="549"/>
      <c r="H160" s="549"/>
      <c r="I160" s="549"/>
      <c r="J160" s="549"/>
      <c r="K160" s="36" t="e">
        <f>K152</f>
        <v>#N/A</v>
      </c>
    </row>
    <row r="161" spans="1:11" ht="18" customHeight="1">
      <c r="A161" s="550" t="s">
        <v>74</v>
      </c>
      <c r="B161" s="550"/>
      <c r="C161" s="550"/>
      <c r="D161" s="550"/>
      <c r="E161" s="550"/>
      <c r="F161" s="550"/>
      <c r="G161" s="550"/>
      <c r="H161" s="550"/>
      <c r="I161" s="550"/>
      <c r="J161" s="550"/>
      <c r="K161" s="18" t="e">
        <f>ROUND(SUM(K155:K160),2)</f>
        <v>#N/A</v>
      </c>
    </row>
    <row r="162" spans="1:11" ht="6" customHeight="1">
      <c r="A162" s="551"/>
      <c r="B162" s="551"/>
      <c r="C162" s="551"/>
      <c r="D162" s="551"/>
      <c r="E162" s="551"/>
      <c r="F162" s="551"/>
      <c r="G162" s="551"/>
      <c r="H162" s="551"/>
      <c r="I162" s="551"/>
      <c r="J162" s="551"/>
      <c r="K162" s="551"/>
    </row>
    <row r="164" ht="15">
      <c r="I164" s="6"/>
    </row>
  </sheetData>
  <sheetProtection selectLockedCells="1" selectUnlockedCells="1"/>
  <mergeCells count="290">
    <mergeCell ref="A5:C5"/>
    <mergeCell ref="D5:K5"/>
    <mergeCell ref="A6:C6"/>
    <mergeCell ref="D6:K6"/>
    <mergeCell ref="A7:K7"/>
    <mergeCell ref="A8:K8"/>
    <mergeCell ref="A1:K1"/>
    <mergeCell ref="A2:K2"/>
    <mergeCell ref="A3:C3"/>
    <mergeCell ref="D3:K3"/>
    <mergeCell ref="A4:C4"/>
    <mergeCell ref="D4:K4"/>
    <mergeCell ref="B15:J15"/>
    <mergeCell ref="B16:J16"/>
    <mergeCell ref="B17:J17"/>
    <mergeCell ref="B18:J18"/>
    <mergeCell ref="B19:J19"/>
    <mergeCell ref="B20:J20"/>
    <mergeCell ref="A9:K9"/>
    <mergeCell ref="B10:J10"/>
    <mergeCell ref="B11:J11"/>
    <mergeCell ref="B12:J12"/>
    <mergeCell ref="B13:J13"/>
    <mergeCell ref="B14:J14"/>
    <mergeCell ref="B27:G27"/>
    <mergeCell ref="I27:J27"/>
    <mergeCell ref="B28:G28"/>
    <mergeCell ref="I28:J28"/>
    <mergeCell ref="B29:G29"/>
    <mergeCell ref="I29:J29"/>
    <mergeCell ref="B21:J21"/>
    <mergeCell ref="B22:J22"/>
    <mergeCell ref="A23:K23"/>
    <mergeCell ref="A24:K24"/>
    <mergeCell ref="A25:J25"/>
    <mergeCell ref="B26:G26"/>
    <mergeCell ref="I26:J26"/>
    <mergeCell ref="K31:K33"/>
    <mergeCell ref="M31:T33"/>
    <mergeCell ref="I33:J33"/>
    <mergeCell ref="B34:J34"/>
    <mergeCell ref="A35:J35"/>
    <mergeCell ref="A36:K36"/>
    <mergeCell ref="B30:G30"/>
    <mergeCell ref="I30:J30"/>
    <mergeCell ref="A31:A33"/>
    <mergeCell ref="B31:F33"/>
    <mergeCell ref="G31:G32"/>
    <mergeCell ref="H31:H32"/>
    <mergeCell ref="I31:J32"/>
    <mergeCell ref="M40:T42"/>
    <mergeCell ref="B41:H41"/>
    <mergeCell ref="I41:J41"/>
    <mergeCell ref="B42:H42"/>
    <mergeCell ref="I42:J42"/>
    <mergeCell ref="A43:H43"/>
    <mergeCell ref="I43:J43"/>
    <mergeCell ref="A37:K37"/>
    <mergeCell ref="A38:K38"/>
    <mergeCell ref="A39:H39"/>
    <mergeCell ref="I39:J39"/>
    <mergeCell ref="B40:H40"/>
    <mergeCell ref="I40:J40"/>
    <mergeCell ref="B50:H50"/>
    <mergeCell ref="I50:J50"/>
    <mergeCell ref="B51:H51"/>
    <mergeCell ref="I51:J51"/>
    <mergeCell ref="A52:A53"/>
    <mergeCell ref="B52:F53"/>
    <mergeCell ref="I52:J53"/>
    <mergeCell ref="A44:K44"/>
    <mergeCell ref="A45:K45"/>
    <mergeCell ref="A46:J46"/>
    <mergeCell ref="A47:J47"/>
    <mergeCell ref="A48:J48"/>
    <mergeCell ref="A49:H49"/>
    <mergeCell ref="I49:J49"/>
    <mergeCell ref="M61:T62"/>
    <mergeCell ref="A62:J62"/>
    <mergeCell ref="B56:H56"/>
    <mergeCell ref="I56:J56"/>
    <mergeCell ref="B57:H57"/>
    <mergeCell ref="I57:J57"/>
    <mergeCell ref="B58:H58"/>
    <mergeCell ref="I58:J58"/>
    <mergeCell ref="A59:H59"/>
    <mergeCell ref="I59:J59"/>
    <mergeCell ref="B64:D64"/>
    <mergeCell ref="G64:J64"/>
    <mergeCell ref="B65:D65"/>
    <mergeCell ref="G65:J65"/>
    <mergeCell ref="K52:K53"/>
    <mergeCell ref="M52:T53"/>
    <mergeCell ref="B54:H54"/>
    <mergeCell ref="I54:J54"/>
    <mergeCell ref="B55:H55"/>
    <mergeCell ref="I55:J55"/>
    <mergeCell ref="A60:K60"/>
    <mergeCell ref="A61:K61"/>
    <mergeCell ref="A66:A68"/>
    <mergeCell ref="B66:F66"/>
    <mergeCell ref="G66:J66"/>
    <mergeCell ref="K66:K68"/>
    <mergeCell ref="A63:A65"/>
    <mergeCell ref="B63:F63"/>
    <mergeCell ref="G63:J63"/>
    <mergeCell ref="K63:K65"/>
    <mergeCell ref="M66:T68"/>
    <mergeCell ref="B67:E67"/>
    <mergeCell ref="G67:J67"/>
    <mergeCell ref="B68:E68"/>
    <mergeCell ref="G68:J68"/>
    <mergeCell ref="A72:A74"/>
    <mergeCell ref="B72:F72"/>
    <mergeCell ref="G72:J72"/>
    <mergeCell ref="K72:K74"/>
    <mergeCell ref="B73:F73"/>
    <mergeCell ref="G73:J73"/>
    <mergeCell ref="B74:F74"/>
    <mergeCell ref="G74:J74"/>
    <mergeCell ref="A69:A71"/>
    <mergeCell ref="B69:F69"/>
    <mergeCell ref="G69:J69"/>
    <mergeCell ref="B70:F70"/>
    <mergeCell ref="G70:J70"/>
    <mergeCell ref="A81:A83"/>
    <mergeCell ref="B81:F81"/>
    <mergeCell ref="G81:J81"/>
    <mergeCell ref="K81:K83"/>
    <mergeCell ref="B82:F82"/>
    <mergeCell ref="K70:K71"/>
    <mergeCell ref="B71:F71"/>
    <mergeCell ref="G71:J71"/>
    <mergeCell ref="A75:A77"/>
    <mergeCell ref="B75:F75"/>
    <mergeCell ref="A78:A80"/>
    <mergeCell ref="B78:F78"/>
    <mergeCell ref="G78:J78"/>
    <mergeCell ref="M75:T77"/>
    <mergeCell ref="B76:E76"/>
    <mergeCell ref="G76:J76"/>
    <mergeCell ref="B77:E77"/>
    <mergeCell ref="G77:J77"/>
    <mergeCell ref="G75:J75"/>
    <mergeCell ref="K75:K77"/>
    <mergeCell ref="K78:K80"/>
    <mergeCell ref="B79:E79"/>
    <mergeCell ref="G79:J79"/>
    <mergeCell ref="B80:E80"/>
    <mergeCell ref="G80:J80"/>
    <mergeCell ref="B87:J87"/>
    <mergeCell ref="G82:J82"/>
    <mergeCell ref="B83:F83"/>
    <mergeCell ref="G83:J83"/>
    <mergeCell ref="A88:J88"/>
    <mergeCell ref="A89:J89"/>
    <mergeCell ref="A90:K90"/>
    <mergeCell ref="A91:K91"/>
    <mergeCell ref="M91:T92"/>
    <mergeCell ref="A92:J92"/>
    <mergeCell ref="B100:G100"/>
    <mergeCell ref="H100:J100"/>
    <mergeCell ref="A84:A86"/>
    <mergeCell ref="B84:F84"/>
    <mergeCell ref="G84:J84"/>
    <mergeCell ref="K84:K86"/>
    <mergeCell ref="B85:F85"/>
    <mergeCell ref="G85:J85"/>
    <mergeCell ref="B86:F86"/>
    <mergeCell ref="G86:J86"/>
    <mergeCell ref="B97:G97"/>
    <mergeCell ref="H97:J97"/>
    <mergeCell ref="B98:G98"/>
    <mergeCell ref="H98:J98"/>
    <mergeCell ref="B99:G99"/>
    <mergeCell ref="H99:J99"/>
    <mergeCell ref="B110:G110"/>
    <mergeCell ref="H110:J110"/>
    <mergeCell ref="A93:J93"/>
    <mergeCell ref="M93:T94"/>
    <mergeCell ref="A94:J94"/>
    <mergeCell ref="A95:G95"/>
    <mergeCell ref="H95:J95"/>
    <mergeCell ref="M95:T100"/>
    <mergeCell ref="B96:G96"/>
    <mergeCell ref="H96:J96"/>
    <mergeCell ref="A104:K104"/>
    <mergeCell ref="A105:K105"/>
    <mergeCell ref="A106:J106"/>
    <mergeCell ref="A107:J107"/>
    <mergeCell ref="A108:J108"/>
    <mergeCell ref="A109:G109"/>
    <mergeCell ref="H109:J109"/>
    <mergeCell ref="M113:T114"/>
    <mergeCell ref="B114:G114"/>
    <mergeCell ref="H114:J114"/>
    <mergeCell ref="B101:G101"/>
    <mergeCell ref="H101:J101"/>
    <mergeCell ref="M101:T102"/>
    <mergeCell ref="A102:G102"/>
    <mergeCell ref="H102:J102"/>
    <mergeCell ref="A103:K103"/>
    <mergeCell ref="M103:T107"/>
    <mergeCell ref="B118:G118"/>
    <mergeCell ref="A111:A112"/>
    <mergeCell ref="B111:J111"/>
    <mergeCell ref="K111:K112"/>
    <mergeCell ref="M111:T112"/>
    <mergeCell ref="F112:G112"/>
    <mergeCell ref="H112:J112"/>
    <mergeCell ref="A113:A114"/>
    <mergeCell ref="B113:J113"/>
    <mergeCell ref="K113:K114"/>
    <mergeCell ref="B126:J126"/>
    <mergeCell ref="A115:A116"/>
    <mergeCell ref="B115:J115"/>
    <mergeCell ref="K115:K116"/>
    <mergeCell ref="M115:T118"/>
    <mergeCell ref="B116:G116"/>
    <mergeCell ref="H116:J116"/>
    <mergeCell ref="A117:A118"/>
    <mergeCell ref="B117:J117"/>
    <mergeCell ref="K117:K118"/>
    <mergeCell ref="M119:T120"/>
    <mergeCell ref="B120:G120"/>
    <mergeCell ref="H120:J120"/>
    <mergeCell ref="B121:G121"/>
    <mergeCell ref="H121:J121"/>
    <mergeCell ref="A122:G122"/>
    <mergeCell ref="H122:J122"/>
    <mergeCell ref="A127:J127"/>
    <mergeCell ref="A128:K128"/>
    <mergeCell ref="A129:J129"/>
    <mergeCell ref="A130:K130"/>
    <mergeCell ref="A131:K131"/>
    <mergeCell ref="H118:J118"/>
    <mergeCell ref="B119:J119"/>
    <mergeCell ref="A123:K123"/>
    <mergeCell ref="A124:K124"/>
    <mergeCell ref="A125:J125"/>
    <mergeCell ref="F133:I133"/>
    <mergeCell ref="A135:J135"/>
    <mergeCell ref="A136:K136"/>
    <mergeCell ref="A137:J137"/>
    <mergeCell ref="A138:K138"/>
    <mergeCell ref="B134:J134"/>
    <mergeCell ref="M142:T143"/>
    <mergeCell ref="B143:F143"/>
    <mergeCell ref="G143:H143"/>
    <mergeCell ref="I143:J143"/>
    <mergeCell ref="B132:J132"/>
    <mergeCell ref="A139:K139"/>
    <mergeCell ref="A140:K140"/>
    <mergeCell ref="A141:F141"/>
    <mergeCell ref="G141:H141"/>
    <mergeCell ref="I141:J141"/>
    <mergeCell ref="M144:T144"/>
    <mergeCell ref="D150:E150"/>
    <mergeCell ref="G150:H150"/>
    <mergeCell ref="B151:F151"/>
    <mergeCell ref="G151:H151"/>
    <mergeCell ref="B142:F142"/>
    <mergeCell ref="G142:H142"/>
    <mergeCell ref="I142:J142"/>
    <mergeCell ref="K147:K148"/>
    <mergeCell ref="M145:T145"/>
    <mergeCell ref="A144:A151"/>
    <mergeCell ref="B144:C150"/>
    <mergeCell ref="D144:E146"/>
    <mergeCell ref="G144:H144"/>
    <mergeCell ref="I144:J150"/>
    <mergeCell ref="B157:J157"/>
    <mergeCell ref="I151:J151"/>
    <mergeCell ref="A152:H152"/>
    <mergeCell ref="I152:J152"/>
    <mergeCell ref="G145:H145"/>
    <mergeCell ref="G146:H146"/>
    <mergeCell ref="M146:T146"/>
    <mergeCell ref="D147:E149"/>
    <mergeCell ref="G147:H148"/>
    <mergeCell ref="B158:J158"/>
    <mergeCell ref="G149:H149"/>
    <mergeCell ref="B159:J159"/>
    <mergeCell ref="B160:J160"/>
    <mergeCell ref="A161:J161"/>
    <mergeCell ref="A162:K162"/>
    <mergeCell ref="A153:K153"/>
    <mergeCell ref="A154:J154"/>
    <mergeCell ref="B155:J155"/>
    <mergeCell ref="B156:J156"/>
  </mergeCells>
  <printOptions horizontalCentered="1" verticalCentered="1"/>
  <pageMargins left="0.7086614173228347" right="0.7086614173228347" top="0.7480314960629921" bottom="0.7480314960629921" header="0.31496062992125984" footer="0.31496062992125984"/>
  <pageSetup fitToHeight="2" fitToWidth="1" horizontalDpi="600" verticalDpi="600" orientation="portrait" paperSize="9" scale="38" r:id="rId3"/>
  <rowBreaks count="1" manualBreakCount="1">
    <brk id="95" max="255"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T164"/>
  <sheetViews>
    <sheetView showGridLines="0" showZeros="0" zoomScaleSheetLayoutView="100" zoomScalePageLayoutView="60" workbookViewId="0" topLeftCell="A7">
      <selection activeCell="K17" sqref="K17"/>
    </sheetView>
  </sheetViews>
  <sheetFormatPr defaultColWidth="8.7109375" defaultRowHeight="15"/>
  <cols>
    <col min="1" max="1" width="7.140625" style="1" customWidth="1"/>
    <col min="2" max="2" width="6.7109375" style="1" customWidth="1"/>
    <col min="3" max="3" width="6.28125" style="1" customWidth="1"/>
    <col min="4" max="4" width="8.7109375" style="1" customWidth="1"/>
    <col min="5" max="5" width="11.28125" style="1" customWidth="1"/>
    <col min="6" max="6" width="19.140625" style="1" customWidth="1"/>
    <col min="7" max="8" width="10.7109375" style="1" customWidth="1"/>
    <col min="9" max="9" width="8.7109375" style="1" customWidth="1"/>
    <col min="10" max="10" width="7.00390625" style="1" customWidth="1"/>
    <col min="11" max="11" width="37.140625" style="3" customWidth="1"/>
    <col min="12" max="12" width="3.421875" style="1" customWidth="1"/>
    <col min="13" max="13" width="11.140625" style="22" bestFit="1" customWidth="1"/>
    <col min="14" max="19" width="8.7109375" style="22" customWidth="1"/>
    <col min="20" max="20" width="19.57421875" style="22" customWidth="1"/>
    <col min="21" max="16384" width="8.7109375" style="1" customWidth="1"/>
  </cols>
  <sheetData>
    <row r="1" spans="1:11" ht="21.75" customHeight="1">
      <c r="A1" s="663" t="s">
        <v>156</v>
      </c>
      <c r="B1" s="664"/>
      <c r="C1" s="664"/>
      <c r="D1" s="664"/>
      <c r="E1" s="664"/>
      <c r="F1" s="664"/>
      <c r="G1" s="664"/>
      <c r="H1" s="664"/>
      <c r="I1" s="664"/>
      <c r="J1" s="664"/>
      <c r="K1" s="665"/>
    </row>
    <row r="2" spans="1:11" ht="6.75" customHeight="1">
      <c r="A2" s="551"/>
      <c r="B2" s="551"/>
      <c r="C2" s="551"/>
      <c r="D2" s="551"/>
      <c r="E2" s="551"/>
      <c r="F2" s="551"/>
      <c r="G2" s="551"/>
      <c r="H2" s="551"/>
      <c r="I2" s="551"/>
      <c r="J2" s="551"/>
      <c r="K2" s="551"/>
    </row>
    <row r="3" spans="1:11" ht="17.25" customHeight="1">
      <c r="A3" s="666" t="s">
        <v>75</v>
      </c>
      <c r="B3" s="666"/>
      <c r="C3" s="666"/>
      <c r="D3" s="667" t="s">
        <v>157</v>
      </c>
      <c r="E3" s="668"/>
      <c r="F3" s="668"/>
      <c r="G3" s="668"/>
      <c r="H3" s="668"/>
      <c r="I3" s="668"/>
      <c r="J3" s="668"/>
      <c r="K3" s="669"/>
    </row>
    <row r="4" spans="1:11" ht="17.25" customHeight="1">
      <c r="A4" s="666" t="s">
        <v>95</v>
      </c>
      <c r="B4" s="666"/>
      <c r="C4" s="666"/>
      <c r="D4" s="667" t="s">
        <v>158</v>
      </c>
      <c r="E4" s="668"/>
      <c r="F4" s="668"/>
      <c r="G4" s="668"/>
      <c r="H4" s="668"/>
      <c r="I4" s="668"/>
      <c r="J4" s="668"/>
      <c r="K4" s="669"/>
    </row>
    <row r="5" spans="1:11" ht="17.25" customHeight="1">
      <c r="A5" s="666" t="s">
        <v>96</v>
      </c>
      <c r="B5" s="666"/>
      <c r="C5" s="666"/>
      <c r="D5" s="667" t="s">
        <v>97</v>
      </c>
      <c r="E5" s="668"/>
      <c r="F5" s="668"/>
      <c r="G5" s="668"/>
      <c r="H5" s="668"/>
      <c r="I5" s="668"/>
      <c r="J5" s="668"/>
      <c r="K5" s="669"/>
    </row>
    <row r="6" spans="1:11" ht="17.25" customHeight="1">
      <c r="A6" s="666" t="s">
        <v>159</v>
      </c>
      <c r="B6" s="666"/>
      <c r="C6" s="666"/>
      <c r="D6" s="667" t="s">
        <v>213</v>
      </c>
      <c r="E6" s="668"/>
      <c r="F6" s="668"/>
      <c r="G6" s="668"/>
      <c r="H6" s="668"/>
      <c r="I6" s="668"/>
      <c r="J6" s="668"/>
      <c r="K6" s="669"/>
    </row>
    <row r="7" spans="1:11" ht="6.75" customHeight="1">
      <c r="A7" s="670"/>
      <c r="B7" s="670"/>
      <c r="C7" s="670"/>
      <c r="D7" s="670"/>
      <c r="E7" s="670"/>
      <c r="F7" s="670"/>
      <c r="G7" s="670"/>
      <c r="H7" s="670"/>
      <c r="I7" s="670"/>
      <c r="J7" s="670"/>
      <c r="K7" s="670"/>
    </row>
    <row r="8" spans="1:11" ht="6.75" customHeight="1">
      <c r="A8" s="571"/>
      <c r="B8" s="571"/>
      <c r="C8" s="571"/>
      <c r="D8" s="571"/>
      <c r="E8" s="571"/>
      <c r="F8" s="571"/>
      <c r="G8" s="571"/>
      <c r="H8" s="571"/>
      <c r="I8" s="571"/>
      <c r="J8" s="571"/>
      <c r="K8" s="571"/>
    </row>
    <row r="9" spans="1:11" ht="17.25" customHeight="1">
      <c r="A9" s="560" t="s">
        <v>0</v>
      </c>
      <c r="B9" s="560"/>
      <c r="C9" s="560"/>
      <c r="D9" s="560"/>
      <c r="E9" s="560"/>
      <c r="F9" s="560"/>
      <c r="G9" s="560"/>
      <c r="H9" s="560"/>
      <c r="I9" s="560"/>
      <c r="J9" s="560"/>
      <c r="K9" s="560"/>
    </row>
    <row r="10" spans="1:11" ht="17.25" customHeight="1">
      <c r="A10" s="78" t="s">
        <v>1</v>
      </c>
      <c r="B10" s="549" t="s">
        <v>2</v>
      </c>
      <c r="C10" s="549"/>
      <c r="D10" s="549"/>
      <c r="E10" s="549"/>
      <c r="F10" s="549"/>
      <c r="G10" s="549"/>
      <c r="H10" s="549"/>
      <c r="I10" s="549"/>
      <c r="J10" s="549"/>
      <c r="K10" s="7"/>
    </row>
    <row r="11" spans="1:11" ht="16.5" customHeight="1">
      <c r="A11" s="78" t="s">
        <v>3</v>
      </c>
      <c r="B11" s="549" t="s">
        <v>4</v>
      </c>
      <c r="C11" s="549"/>
      <c r="D11" s="549"/>
      <c r="E11" s="549"/>
      <c r="F11" s="549"/>
      <c r="G11" s="549"/>
      <c r="H11" s="549"/>
      <c r="I11" s="549"/>
      <c r="J11" s="549"/>
      <c r="K11" s="89" t="s">
        <v>214</v>
      </c>
    </row>
    <row r="12" spans="1:11" ht="25.5">
      <c r="A12" s="78" t="s">
        <v>5</v>
      </c>
      <c r="B12" s="549" t="s">
        <v>120</v>
      </c>
      <c r="C12" s="549"/>
      <c r="D12" s="549"/>
      <c r="E12" s="549"/>
      <c r="F12" s="549"/>
      <c r="G12" s="549"/>
      <c r="H12" s="549"/>
      <c r="I12" s="549"/>
      <c r="J12" s="549"/>
      <c r="K12" s="45" t="s">
        <v>220</v>
      </c>
    </row>
    <row r="13" spans="1:11" ht="16.5" customHeight="1">
      <c r="A13" s="78" t="s">
        <v>6</v>
      </c>
      <c r="B13" s="591" t="s">
        <v>77</v>
      </c>
      <c r="C13" s="591"/>
      <c r="D13" s="591"/>
      <c r="E13" s="591"/>
      <c r="F13" s="591"/>
      <c r="G13" s="591"/>
      <c r="H13" s="591"/>
      <c r="I13" s="591"/>
      <c r="J13" s="591"/>
      <c r="K13" s="89" t="s">
        <v>160</v>
      </c>
    </row>
    <row r="14" spans="1:11" ht="16.5" customHeight="1">
      <c r="A14" s="78" t="s">
        <v>8</v>
      </c>
      <c r="B14" s="591" t="s">
        <v>127</v>
      </c>
      <c r="C14" s="591"/>
      <c r="D14" s="591"/>
      <c r="E14" s="591"/>
      <c r="F14" s="591"/>
      <c r="G14" s="591"/>
      <c r="H14" s="591"/>
      <c r="I14" s="591"/>
      <c r="J14" s="591"/>
      <c r="K14" s="40" t="s">
        <v>223</v>
      </c>
    </row>
    <row r="15" spans="1:11" ht="16.5" customHeight="1">
      <c r="A15" s="78" t="s">
        <v>10</v>
      </c>
      <c r="B15" s="591" t="s">
        <v>7</v>
      </c>
      <c r="C15" s="591"/>
      <c r="D15" s="591"/>
      <c r="E15" s="591"/>
      <c r="F15" s="591"/>
      <c r="G15" s="591"/>
      <c r="H15" s="591"/>
      <c r="I15" s="591"/>
      <c r="J15" s="591"/>
      <c r="K15" s="89" t="s">
        <v>221</v>
      </c>
    </row>
    <row r="16" spans="1:12" ht="16.5" customHeight="1">
      <c r="A16" s="78" t="s">
        <v>11</v>
      </c>
      <c r="B16" s="591" t="s">
        <v>9</v>
      </c>
      <c r="C16" s="591"/>
      <c r="D16" s="591"/>
      <c r="E16" s="591"/>
      <c r="F16" s="591"/>
      <c r="G16" s="591"/>
      <c r="H16" s="591"/>
      <c r="I16" s="591"/>
      <c r="J16" s="591"/>
      <c r="K16" s="89" t="s">
        <v>222</v>
      </c>
      <c r="L16" s="4"/>
    </row>
    <row r="17" spans="1:12" ht="16.5" customHeight="1">
      <c r="A17" s="78" t="s">
        <v>12</v>
      </c>
      <c r="B17" s="591" t="s">
        <v>143</v>
      </c>
      <c r="C17" s="591"/>
      <c r="D17" s="591"/>
      <c r="E17" s="591"/>
      <c r="F17" s="591"/>
      <c r="G17" s="591"/>
      <c r="H17" s="591"/>
      <c r="I17" s="591"/>
      <c r="J17" s="591"/>
      <c r="K17" s="89">
        <v>1039</v>
      </c>
      <c r="L17" s="4"/>
    </row>
    <row r="18" spans="1:11" ht="16.5" customHeight="1">
      <c r="A18" s="78" t="s">
        <v>14</v>
      </c>
      <c r="B18" s="591" t="s">
        <v>162</v>
      </c>
      <c r="C18" s="591"/>
      <c r="D18" s="591"/>
      <c r="E18" s="591"/>
      <c r="F18" s="591"/>
      <c r="G18" s="591"/>
      <c r="H18" s="591"/>
      <c r="I18" s="591"/>
      <c r="J18" s="591"/>
      <c r="K18" s="89">
        <v>1358.86</v>
      </c>
    </row>
    <row r="19" spans="1:11" ht="15">
      <c r="A19" s="78" t="s">
        <v>16</v>
      </c>
      <c r="B19" s="549" t="s">
        <v>84</v>
      </c>
      <c r="C19" s="549"/>
      <c r="D19" s="549"/>
      <c r="E19" s="549"/>
      <c r="F19" s="549"/>
      <c r="G19" s="549"/>
      <c r="H19" s="549"/>
      <c r="I19" s="549"/>
      <c r="J19" s="549"/>
      <c r="K19" s="8" t="s">
        <v>215</v>
      </c>
    </row>
    <row r="20" spans="1:11" ht="16.5" customHeight="1">
      <c r="A20" s="78" t="s">
        <v>76</v>
      </c>
      <c r="B20" s="549" t="s">
        <v>13</v>
      </c>
      <c r="C20" s="549"/>
      <c r="D20" s="549"/>
      <c r="E20" s="549"/>
      <c r="F20" s="549"/>
      <c r="G20" s="549"/>
      <c r="H20" s="549"/>
      <c r="I20" s="549"/>
      <c r="J20" s="549"/>
      <c r="K20" s="19">
        <v>43466</v>
      </c>
    </row>
    <row r="21" spans="1:11" ht="17.25" customHeight="1">
      <c r="A21" s="78" t="s">
        <v>78</v>
      </c>
      <c r="B21" s="549" t="s">
        <v>15</v>
      </c>
      <c r="C21" s="549"/>
      <c r="D21" s="549"/>
      <c r="E21" s="549"/>
      <c r="F21" s="549"/>
      <c r="G21" s="549"/>
      <c r="H21" s="549"/>
      <c r="I21" s="549"/>
      <c r="J21" s="549"/>
      <c r="K21" s="9" t="s">
        <v>163</v>
      </c>
    </row>
    <row r="22" spans="1:11" ht="17.25" customHeight="1">
      <c r="A22" s="78" t="s">
        <v>142</v>
      </c>
      <c r="B22" s="549" t="s">
        <v>17</v>
      </c>
      <c r="C22" s="549"/>
      <c r="D22" s="549"/>
      <c r="E22" s="549"/>
      <c r="F22" s="549"/>
      <c r="G22" s="549"/>
      <c r="H22" s="549"/>
      <c r="I22" s="549"/>
      <c r="J22" s="549"/>
      <c r="K22" s="10">
        <v>12</v>
      </c>
    </row>
    <row r="23" spans="1:11" ht="6.75" customHeight="1">
      <c r="A23" s="571"/>
      <c r="B23" s="571"/>
      <c r="C23" s="571"/>
      <c r="D23" s="571"/>
      <c r="E23" s="571"/>
      <c r="F23" s="571"/>
      <c r="G23" s="571"/>
      <c r="H23" s="571"/>
      <c r="I23" s="571"/>
      <c r="J23" s="571"/>
      <c r="K23" s="571"/>
    </row>
    <row r="24" spans="1:11" ht="17.25" customHeight="1">
      <c r="A24" s="560" t="s">
        <v>18</v>
      </c>
      <c r="B24" s="560"/>
      <c r="C24" s="560"/>
      <c r="D24" s="560"/>
      <c r="E24" s="560"/>
      <c r="F24" s="560"/>
      <c r="G24" s="560"/>
      <c r="H24" s="560"/>
      <c r="I24" s="560"/>
      <c r="J24" s="560"/>
      <c r="K24" s="560"/>
    </row>
    <row r="25" spans="1:11" ht="17.25" customHeight="1">
      <c r="A25" s="560"/>
      <c r="B25" s="560"/>
      <c r="C25" s="560"/>
      <c r="D25" s="560"/>
      <c r="E25" s="560"/>
      <c r="F25" s="560"/>
      <c r="G25" s="560"/>
      <c r="H25" s="560"/>
      <c r="I25" s="560"/>
      <c r="J25" s="560"/>
      <c r="K25" s="81" t="s">
        <v>20</v>
      </c>
    </row>
    <row r="26" spans="1:11" ht="17.25" customHeight="1">
      <c r="A26" s="78" t="s">
        <v>1</v>
      </c>
      <c r="B26" s="591" t="s">
        <v>21</v>
      </c>
      <c r="C26" s="591"/>
      <c r="D26" s="591"/>
      <c r="E26" s="591"/>
      <c r="F26" s="591"/>
      <c r="G26" s="591"/>
      <c r="H26" s="87">
        <v>220</v>
      </c>
      <c r="I26" s="556" t="s">
        <v>126</v>
      </c>
      <c r="J26" s="556"/>
      <c r="K26" s="83">
        <f>K18/220*H26</f>
        <v>1358.86</v>
      </c>
    </row>
    <row r="27" spans="1:20" ht="17.25" customHeight="1">
      <c r="A27" s="78" t="s">
        <v>3</v>
      </c>
      <c r="B27" s="591" t="s">
        <v>98</v>
      </c>
      <c r="C27" s="591"/>
      <c r="D27" s="591"/>
      <c r="E27" s="591"/>
      <c r="F27" s="591"/>
      <c r="G27" s="591"/>
      <c r="H27" s="85">
        <v>0</v>
      </c>
      <c r="I27" s="556" t="s">
        <v>100</v>
      </c>
      <c r="J27" s="556"/>
      <c r="K27" s="89">
        <f>H27*K17</f>
        <v>0</v>
      </c>
      <c r="M27" s="23" t="s">
        <v>153</v>
      </c>
      <c r="N27" s="24"/>
      <c r="O27" s="24"/>
      <c r="P27" s="24"/>
      <c r="Q27" s="24"/>
      <c r="R27" s="24"/>
      <c r="S27" s="24"/>
      <c r="T27" s="25"/>
    </row>
    <row r="28" spans="1:20" ht="17.25" customHeight="1">
      <c r="A28" s="78" t="s">
        <v>5</v>
      </c>
      <c r="B28" s="591" t="s">
        <v>99</v>
      </c>
      <c r="C28" s="591"/>
      <c r="D28" s="591"/>
      <c r="E28" s="591"/>
      <c r="F28" s="591"/>
      <c r="G28" s="591"/>
      <c r="H28" s="85"/>
      <c r="I28" s="556" t="s">
        <v>100</v>
      </c>
      <c r="J28" s="556"/>
      <c r="K28" s="89">
        <f>H28*K17</f>
        <v>0</v>
      </c>
      <c r="M28" s="23" t="s">
        <v>153</v>
      </c>
      <c r="N28" s="24"/>
      <c r="O28" s="24"/>
      <c r="P28" s="24"/>
      <c r="Q28" s="24"/>
      <c r="R28" s="24"/>
      <c r="S28" s="24"/>
      <c r="T28" s="25"/>
    </row>
    <row r="29" spans="1:11" ht="17.25" customHeight="1">
      <c r="A29" s="78" t="s">
        <v>6</v>
      </c>
      <c r="B29" s="657" t="s">
        <v>101</v>
      </c>
      <c r="C29" s="658"/>
      <c r="D29" s="658"/>
      <c r="E29" s="658"/>
      <c r="F29" s="658"/>
      <c r="G29" s="659"/>
      <c r="H29" s="85"/>
      <c r="I29" s="556" t="s">
        <v>100</v>
      </c>
      <c r="J29" s="556"/>
      <c r="K29" s="89">
        <f>H29*K26</f>
        <v>0</v>
      </c>
    </row>
    <row r="30" spans="1:11" ht="17.25" customHeight="1">
      <c r="A30" s="78" t="s">
        <v>102</v>
      </c>
      <c r="B30" s="657" t="s">
        <v>103</v>
      </c>
      <c r="C30" s="658"/>
      <c r="D30" s="658"/>
      <c r="E30" s="658"/>
      <c r="F30" s="658"/>
      <c r="G30" s="659"/>
      <c r="H30" s="85"/>
      <c r="I30" s="556" t="s">
        <v>100</v>
      </c>
      <c r="J30" s="556"/>
      <c r="K30" s="89">
        <f>H30*K26</f>
        <v>0</v>
      </c>
    </row>
    <row r="31" spans="1:20" ht="17.25" customHeight="1">
      <c r="A31" s="556" t="s">
        <v>10</v>
      </c>
      <c r="B31" s="591" t="s">
        <v>140</v>
      </c>
      <c r="C31" s="591"/>
      <c r="D31" s="591"/>
      <c r="E31" s="591"/>
      <c r="F31" s="591"/>
      <c r="G31" s="660" t="s">
        <v>125</v>
      </c>
      <c r="H31" s="661" t="s">
        <v>123</v>
      </c>
      <c r="I31" s="660" t="s">
        <v>124</v>
      </c>
      <c r="J31" s="660"/>
      <c r="K31" s="604">
        <f>ROUND(I33*H33,2)</f>
        <v>0</v>
      </c>
      <c r="M31" s="562" t="s">
        <v>154</v>
      </c>
      <c r="N31" s="563"/>
      <c r="O31" s="563"/>
      <c r="P31" s="563"/>
      <c r="Q31" s="563"/>
      <c r="R31" s="563"/>
      <c r="S31" s="563"/>
      <c r="T31" s="564"/>
    </row>
    <row r="32" spans="1:20" ht="22.5" customHeight="1">
      <c r="A32" s="556"/>
      <c r="B32" s="591"/>
      <c r="C32" s="591"/>
      <c r="D32" s="591"/>
      <c r="E32" s="591"/>
      <c r="F32" s="591"/>
      <c r="G32" s="660"/>
      <c r="H32" s="661"/>
      <c r="I32" s="660"/>
      <c r="J32" s="660"/>
      <c r="K32" s="604"/>
      <c r="M32" s="587"/>
      <c r="N32" s="588"/>
      <c r="O32" s="588"/>
      <c r="P32" s="588"/>
      <c r="Q32" s="588"/>
      <c r="R32" s="588"/>
      <c r="S32" s="588"/>
      <c r="T32" s="589"/>
    </row>
    <row r="33" spans="1:20" ht="17.25" customHeight="1">
      <c r="A33" s="556"/>
      <c r="B33" s="591"/>
      <c r="C33" s="591"/>
      <c r="D33" s="591"/>
      <c r="E33" s="591"/>
      <c r="F33" s="591"/>
      <c r="G33" s="85"/>
      <c r="H33" s="87"/>
      <c r="I33" s="662">
        <f>(K26/H26)*(1+G33)</f>
        <v>6.176636363636363</v>
      </c>
      <c r="J33" s="662"/>
      <c r="K33" s="604"/>
      <c r="M33" s="568"/>
      <c r="N33" s="569"/>
      <c r="O33" s="569"/>
      <c r="P33" s="569"/>
      <c r="Q33" s="569"/>
      <c r="R33" s="569"/>
      <c r="S33" s="569"/>
      <c r="T33" s="570"/>
    </row>
    <row r="34" spans="1:11" ht="17.25" customHeight="1">
      <c r="A34" s="78" t="s">
        <v>11</v>
      </c>
      <c r="B34" s="580" t="s">
        <v>22</v>
      </c>
      <c r="C34" s="580"/>
      <c r="D34" s="580"/>
      <c r="E34" s="580"/>
      <c r="F34" s="580"/>
      <c r="G34" s="580"/>
      <c r="H34" s="580"/>
      <c r="I34" s="580"/>
      <c r="J34" s="580"/>
      <c r="K34" s="89"/>
    </row>
    <row r="35" spans="1:11" ht="17.25" customHeight="1">
      <c r="A35" s="560" t="s">
        <v>23</v>
      </c>
      <c r="B35" s="560"/>
      <c r="C35" s="560"/>
      <c r="D35" s="560"/>
      <c r="E35" s="560"/>
      <c r="F35" s="560"/>
      <c r="G35" s="560"/>
      <c r="H35" s="560"/>
      <c r="I35" s="560"/>
      <c r="J35" s="560"/>
      <c r="K35" s="11">
        <f>ROUND(SUM(K26:K34),2)</f>
        <v>1358.86</v>
      </c>
    </row>
    <row r="36" spans="1:11" ht="6.75" customHeight="1">
      <c r="A36" s="571"/>
      <c r="B36" s="571"/>
      <c r="C36" s="571"/>
      <c r="D36" s="571"/>
      <c r="E36" s="571"/>
      <c r="F36" s="571"/>
      <c r="G36" s="571"/>
      <c r="H36" s="571"/>
      <c r="I36" s="571"/>
      <c r="J36" s="571"/>
      <c r="K36" s="571"/>
    </row>
    <row r="37" spans="1:11" ht="17.25" customHeight="1">
      <c r="A37" s="560" t="s">
        <v>24</v>
      </c>
      <c r="B37" s="560"/>
      <c r="C37" s="560"/>
      <c r="D37" s="560"/>
      <c r="E37" s="560"/>
      <c r="F37" s="560"/>
      <c r="G37" s="560"/>
      <c r="H37" s="560"/>
      <c r="I37" s="560"/>
      <c r="J37" s="560"/>
      <c r="K37" s="560"/>
    </row>
    <row r="38" spans="1:13" ht="17.25" customHeight="1">
      <c r="A38" s="581" t="s">
        <v>121</v>
      </c>
      <c r="B38" s="581"/>
      <c r="C38" s="581"/>
      <c r="D38" s="581"/>
      <c r="E38" s="581"/>
      <c r="F38" s="581"/>
      <c r="G38" s="581"/>
      <c r="H38" s="581"/>
      <c r="I38" s="581"/>
      <c r="J38" s="581"/>
      <c r="K38" s="581"/>
      <c r="M38" s="26"/>
    </row>
    <row r="39" spans="1:20" s="2" customFormat="1" ht="17.25" customHeight="1">
      <c r="A39" s="643"/>
      <c r="B39" s="643"/>
      <c r="C39" s="643"/>
      <c r="D39" s="643"/>
      <c r="E39" s="643"/>
      <c r="F39" s="643"/>
      <c r="G39" s="643"/>
      <c r="H39" s="643"/>
      <c r="I39" s="560" t="s">
        <v>25</v>
      </c>
      <c r="J39" s="560"/>
      <c r="K39" s="81" t="s">
        <v>20</v>
      </c>
      <c r="M39" s="22"/>
      <c r="N39" s="22"/>
      <c r="O39" s="22"/>
      <c r="P39" s="22"/>
      <c r="Q39" s="22"/>
      <c r="R39" s="22"/>
      <c r="S39" s="22"/>
      <c r="T39" s="22"/>
    </row>
    <row r="40" spans="1:20" ht="17.25" customHeight="1">
      <c r="A40" s="78" t="s">
        <v>1</v>
      </c>
      <c r="B40" s="549" t="s">
        <v>122</v>
      </c>
      <c r="C40" s="549"/>
      <c r="D40" s="549"/>
      <c r="E40" s="549"/>
      <c r="F40" s="549"/>
      <c r="G40" s="549"/>
      <c r="H40" s="549"/>
      <c r="I40" s="646">
        <f>ROUND(1/12,4)</f>
        <v>0.0833</v>
      </c>
      <c r="J40" s="646"/>
      <c r="K40" s="80">
        <f>ROUND(I40*$K$35,2)</f>
        <v>113.19</v>
      </c>
      <c r="M40" s="647" t="s">
        <v>108</v>
      </c>
      <c r="N40" s="648"/>
      <c r="O40" s="648"/>
      <c r="P40" s="648"/>
      <c r="Q40" s="648"/>
      <c r="R40" s="648"/>
      <c r="S40" s="648"/>
      <c r="T40" s="649"/>
    </row>
    <row r="41" spans="1:20" ht="17.25" customHeight="1">
      <c r="A41" s="78" t="s">
        <v>3</v>
      </c>
      <c r="B41" s="591" t="s">
        <v>26</v>
      </c>
      <c r="C41" s="591"/>
      <c r="D41" s="591"/>
      <c r="E41" s="591"/>
      <c r="F41" s="591"/>
      <c r="G41" s="591"/>
      <c r="H41" s="591"/>
      <c r="I41" s="646">
        <f>ROUND(1/3/12,4)</f>
        <v>0.0278</v>
      </c>
      <c r="J41" s="646"/>
      <c r="K41" s="80">
        <f>ROUND(I41*$K$35,2)</f>
        <v>37.78</v>
      </c>
      <c r="M41" s="650"/>
      <c r="N41" s="651"/>
      <c r="O41" s="651"/>
      <c r="P41" s="651"/>
      <c r="Q41" s="651"/>
      <c r="R41" s="651"/>
      <c r="S41" s="651"/>
      <c r="T41" s="652"/>
    </row>
    <row r="42" spans="1:20" ht="17.25" customHeight="1">
      <c r="A42" s="20" t="s">
        <v>5</v>
      </c>
      <c r="B42" s="656" t="s">
        <v>141</v>
      </c>
      <c r="C42" s="656"/>
      <c r="D42" s="656"/>
      <c r="E42" s="656"/>
      <c r="F42" s="656"/>
      <c r="G42" s="656"/>
      <c r="H42" s="656"/>
      <c r="I42" s="634">
        <f>ROUND(1/12,4)</f>
        <v>0.0833</v>
      </c>
      <c r="J42" s="634"/>
      <c r="K42" s="83">
        <f>ROUND(I42*$K$35,2)</f>
        <v>113.19</v>
      </c>
      <c r="M42" s="653"/>
      <c r="N42" s="654"/>
      <c r="O42" s="654"/>
      <c r="P42" s="654"/>
      <c r="Q42" s="654"/>
      <c r="R42" s="654"/>
      <c r="S42" s="654"/>
      <c r="T42" s="655"/>
    </row>
    <row r="43" spans="1:11" ht="17.25" customHeight="1">
      <c r="A43" s="581" t="s">
        <v>27</v>
      </c>
      <c r="B43" s="581"/>
      <c r="C43" s="581"/>
      <c r="D43" s="581"/>
      <c r="E43" s="581"/>
      <c r="F43" s="581"/>
      <c r="G43" s="581"/>
      <c r="H43" s="581"/>
      <c r="I43" s="586">
        <f>SUM(I40:J42)</f>
        <v>0.19440000000000002</v>
      </c>
      <c r="J43" s="586"/>
      <c r="K43" s="12">
        <f>ROUND(SUM(K40:K42),2)</f>
        <v>264.16</v>
      </c>
    </row>
    <row r="44" spans="1:11" ht="6.75" customHeight="1">
      <c r="A44" s="551"/>
      <c r="B44" s="551"/>
      <c r="C44" s="551"/>
      <c r="D44" s="551"/>
      <c r="E44" s="551"/>
      <c r="F44" s="551"/>
      <c r="G44" s="551"/>
      <c r="H44" s="551"/>
      <c r="I44" s="551"/>
      <c r="J44" s="551"/>
      <c r="K44" s="551"/>
    </row>
    <row r="45" spans="1:11" ht="17.25" customHeight="1">
      <c r="A45" s="581" t="s">
        <v>28</v>
      </c>
      <c r="B45" s="581"/>
      <c r="C45" s="581"/>
      <c r="D45" s="581"/>
      <c r="E45" s="581"/>
      <c r="F45" s="581"/>
      <c r="G45" s="581"/>
      <c r="H45" s="581"/>
      <c r="I45" s="581"/>
      <c r="J45" s="581"/>
      <c r="K45" s="581"/>
    </row>
    <row r="46" spans="1:11" ht="17.25" customHeight="1">
      <c r="A46" s="641" t="s">
        <v>68</v>
      </c>
      <c r="B46" s="641"/>
      <c r="C46" s="641"/>
      <c r="D46" s="641"/>
      <c r="E46" s="641"/>
      <c r="F46" s="641"/>
      <c r="G46" s="641"/>
      <c r="H46" s="641"/>
      <c r="I46" s="641"/>
      <c r="J46" s="641"/>
      <c r="K46" s="12">
        <f>K35</f>
        <v>1358.86</v>
      </c>
    </row>
    <row r="47" spans="1:11" ht="17.25" customHeight="1">
      <c r="A47" s="642" t="s">
        <v>79</v>
      </c>
      <c r="B47" s="642"/>
      <c r="C47" s="642"/>
      <c r="D47" s="642"/>
      <c r="E47" s="642"/>
      <c r="F47" s="642"/>
      <c r="G47" s="642"/>
      <c r="H47" s="642"/>
      <c r="I47" s="642"/>
      <c r="J47" s="642"/>
      <c r="K47" s="12">
        <f>K43</f>
        <v>264.16</v>
      </c>
    </row>
    <row r="48" spans="1:11" ht="17.25" customHeight="1">
      <c r="A48" s="642" t="s">
        <v>80</v>
      </c>
      <c r="B48" s="642"/>
      <c r="C48" s="642"/>
      <c r="D48" s="642"/>
      <c r="E48" s="642"/>
      <c r="F48" s="642"/>
      <c r="G48" s="642"/>
      <c r="H48" s="642"/>
      <c r="I48" s="642"/>
      <c r="J48" s="642"/>
      <c r="K48" s="12">
        <f>SUM(K46:K47)</f>
        <v>1623.02</v>
      </c>
    </row>
    <row r="49" spans="1:20" s="2" customFormat="1" ht="17.25" customHeight="1">
      <c r="A49" s="643"/>
      <c r="B49" s="643"/>
      <c r="C49" s="643"/>
      <c r="D49" s="643"/>
      <c r="E49" s="643"/>
      <c r="F49" s="643"/>
      <c r="G49" s="643"/>
      <c r="H49" s="643"/>
      <c r="I49" s="560" t="s">
        <v>25</v>
      </c>
      <c r="J49" s="560"/>
      <c r="K49" s="81" t="s">
        <v>20</v>
      </c>
      <c r="M49" s="71"/>
      <c r="N49" s="71"/>
      <c r="O49" s="71"/>
      <c r="P49" s="71"/>
      <c r="Q49" s="71"/>
      <c r="R49" s="71"/>
      <c r="S49" s="22"/>
      <c r="T49" s="22"/>
    </row>
    <row r="50" spans="1:11" ht="17.25" customHeight="1">
      <c r="A50" s="78" t="s">
        <v>1</v>
      </c>
      <c r="B50" s="549" t="s">
        <v>144</v>
      </c>
      <c r="C50" s="549"/>
      <c r="D50" s="549"/>
      <c r="E50" s="549"/>
      <c r="F50" s="549"/>
      <c r="G50" s="549"/>
      <c r="H50" s="549"/>
      <c r="I50" s="634">
        <v>0.2</v>
      </c>
      <c r="J50" s="634"/>
      <c r="K50" s="80">
        <f>ROUND(I50*$K$48,2)</f>
        <v>324.6</v>
      </c>
    </row>
    <row r="51" spans="1:11" ht="17.25" customHeight="1">
      <c r="A51" s="78" t="s">
        <v>3</v>
      </c>
      <c r="B51" s="549" t="s">
        <v>145</v>
      </c>
      <c r="C51" s="549"/>
      <c r="D51" s="549"/>
      <c r="E51" s="549"/>
      <c r="F51" s="549"/>
      <c r="G51" s="549"/>
      <c r="H51" s="549"/>
      <c r="I51" s="634">
        <v>0.025</v>
      </c>
      <c r="J51" s="634"/>
      <c r="K51" s="80" t="e">
        <f>#N/A</f>
        <v>#N/A</v>
      </c>
    </row>
    <row r="52" spans="1:20" ht="17.25" customHeight="1">
      <c r="A52" s="603" t="s">
        <v>5</v>
      </c>
      <c r="B52" s="644" t="s">
        <v>146</v>
      </c>
      <c r="C52" s="644"/>
      <c r="D52" s="644"/>
      <c r="E52" s="644"/>
      <c r="F52" s="644"/>
      <c r="G52" s="21" t="s">
        <v>118</v>
      </c>
      <c r="H52" s="21" t="s">
        <v>119</v>
      </c>
      <c r="I52" s="645">
        <f>(G53*H53)*100</f>
        <v>0.06</v>
      </c>
      <c r="J52" s="645"/>
      <c r="K52" s="602" t="e">
        <f>#N/A</f>
        <v>#N/A</v>
      </c>
      <c r="M52" s="628" t="s">
        <v>152</v>
      </c>
      <c r="N52" s="629"/>
      <c r="O52" s="629"/>
      <c r="P52" s="629"/>
      <c r="Q52" s="629"/>
      <c r="R52" s="629"/>
      <c r="S52" s="629"/>
      <c r="T52" s="630"/>
    </row>
    <row r="53" spans="1:20" ht="17.25" customHeight="1">
      <c r="A53" s="603"/>
      <c r="B53" s="644"/>
      <c r="C53" s="644"/>
      <c r="D53" s="644"/>
      <c r="E53" s="644"/>
      <c r="F53" s="644"/>
      <c r="G53" s="88">
        <v>0.03</v>
      </c>
      <c r="H53" s="88">
        <v>0.02</v>
      </c>
      <c r="I53" s="645"/>
      <c r="J53" s="645"/>
      <c r="K53" s="602"/>
      <c r="M53" s="631"/>
      <c r="N53" s="632"/>
      <c r="O53" s="632"/>
      <c r="P53" s="632"/>
      <c r="Q53" s="632"/>
      <c r="R53" s="632"/>
      <c r="S53" s="632"/>
      <c r="T53" s="633"/>
    </row>
    <row r="54" spans="1:11" ht="17.25" customHeight="1">
      <c r="A54" s="78" t="s">
        <v>6</v>
      </c>
      <c r="B54" s="549" t="s">
        <v>147</v>
      </c>
      <c r="C54" s="549"/>
      <c r="D54" s="549"/>
      <c r="E54" s="549"/>
      <c r="F54" s="549"/>
      <c r="G54" s="549"/>
      <c r="H54" s="549"/>
      <c r="I54" s="634">
        <v>0.015</v>
      </c>
      <c r="J54" s="634"/>
      <c r="K54" s="80" t="e">
        <f>#N/A</f>
        <v>#N/A</v>
      </c>
    </row>
    <row r="55" spans="1:11" ht="17.25" customHeight="1">
      <c r="A55" s="78" t="s">
        <v>8</v>
      </c>
      <c r="B55" s="549" t="s">
        <v>148</v>
      </c>
      <c r="C55" s="549"/>
      <c r="D55" s="549"/>
      <c r="E55" s="549"/>
      <c r="F55" s="549"/>
      <c r="G55" s="549"/>
      <c r="H55" s="549"/>
      <c r="I55" s="634">
        <v>0.01</v>
      </c>
      <c r="J55" s="634"/>
      <c r="K55" s="80" t="e">
        <f>#N/A</f>
        <v>#N/A</v>
      </c>
    </row>
    <row r="56" spans="1:11" ht="17.25" customHeight="1">
      <c r="A56" s="78" t="s">
        <v>10</v>
      </c>
      <c r="B56" s="549" t="s">
        <v>149</v>
      </c>
      <c r="C56" s="549"/>
      <c r="D56" s="549"/>
      <c r="E56" s="549"/>
      <c r="F56" s="549"/>
      <c r="G56" s="549"/>
      <c r="H56" s="549"/>
      <c r="I56" s="634">
        <v>0.006</v>
      </c>
      <c r="J56" s="634"/>
      <c r="K56" s="80" t="e">
        <f>#N/A</f>
        <v>#N/A</v>
      </c>
    </row>
    <row r="57" spans="1:11" ht="17.25" customHeight="1">
      <c r="A57" s="78" t="s">
        <v>11</v>
      </c>
      <c r="B57" s="549" t="s">
        <v>150</v>
      </c>
      <c r="C57" s="549"/>
      <c r="D57" s="549"/>
      <c r="E57" s="549"/>
      <c r="F57" s="549"/>
      <c r="G57" s="549"/>
      <c r="H57" s="549"/>
      <c r="I57" s="634">
        <v>0.002</v>
      </c>
      <c r="J57" s="634"/>
      <c r="K57" s="80" t="e">
        <f>#N/A</f>
        <v>#N/A</v>
      </c>
    </row>
    <row r="58" spans="1:11" ht="17.25" customHeight="1">
      <c r="A58" s="78" t="s">
        <v>12</v>
      </c>
      <c r="B58" s="549" t="s">
        <v>151</v>
      </c>
      <c r="C58" s="549"/>
      <c r="D58" s="549"/>
      <c r="E58" s="549"/>
      <c r="F58" s="549"/>
      <c r="G58" s="549"/>
      <c r="H58" s="549"/>
      <c r="I58" s="634">
        <v>0.08</v>
      </c>
      <c r="J58" s="634"/>
      <c r="K58" s="80" t="e">
        <f>#N/A</f>
        <v>#N/A</v>
      </c>
    </row>
    <row r="59" spans="1:11" ht="17.25" customHeight="1">
      <c r="A59" s="581" t="s">
        <v>29</v>
      </c>
      <c r="B59" s="581"/>
      <c r="C59" s="581"/>
      <c r="D59" s="581"/>
      <c r="E59" s="581"/>
      <c r="F59" s="581"/>
      <c r="G59" s="581"/>
      <c r="H59" s="581"/>
      <c r="I59" s="586">
        <f>SUM(I50:J58)</f>
        <v>0.3980000000000001</v>
      </c>
      <c r="J59" s="586"/>
      <c r="K59" s="12" t="e">
        <f>ROUND(SUM(K50:K58),2)</f>
        <v>#N/A</v>
      </c>
    </row>
    <row r="60" spans="1:11" ht="5.25" customHeight="1">
      <c r="A60" s="624"/>
      <c r="B60" s="624"/>
      <c r="C60" s="624"/>
      <c r="D60" s="624"/>
      <c r="E60" s="624"/>
      <c r="F60" s="624"/>
      <c r="G60" s="624"/>
      <c r="H60" s="624"/>
      <c r="I60" s="624"/>
      <c r="J60" s="624"/>
      <c r="K60" s="624"/>
    </row>
    <row r="61" spans="1:20" ht="17.25" customHeight="1">
      <c r="A61" s="581" t="s">
        <v>30</v>
      </c>
      <c r="B61" s="581"/>
      <c r="C61" s="581"/>
      <c r="D61" s="581"/>
      <c r="E61" s="581"/>
      <c r="F61" s="581"/>
      <c r="G61" s="581"/>
      <c r="H61" s="581"/>
      <c r="I61" s="581"/>
      <c r="J61" s="581"/>
      <c r="K61" s="581"/>
      <c r="M61" s="635" t="s">
        <v>155</v>
      </c>
      <c r="N61" s="636"/>
      <c r="O61" s="636"/>
      <c r="P61" s="636"/>
      <c r="Q61" s="636"/>
      <c r="R61" s="636"/>
      <c r="S61" s="636"/>
      <c r="T61" s="637"/>
    </row>
    <row r="62" spans="1:20" ht="17.25" customHeight="1">
      <c r="A62" s="572"/>
      <c r="B62" s="572"/>
      <c r="C62" s="572"/>
      <c r="D62" s="572"/>
      <c r="E62" s="572"/>
      <c r="F62" s="572"/>
      <c r="G62" s="572"/>
      <c r="H62" s="572"/>
      <c r="I62" s="572"/>
      <c r="J62" s="572"/>
      <c r="K62" s="81" t="s">
        <v>20</v>
      </c>
      <c r="M62" s="638"/>
      <c r="N62" s="639"/>
      <c r="O62" s="639"/>
      <c r="P62" s="639"/>
      <c r="Q62" s="639"/>
      <c r="R62" s="639"/>
      <c r="S62" s="639"/>
      <c r="T62" s="640"/>
    </row>
    <row r="63" spans="1:11" ht="17.25" customHeight="1">
      <c r="A63" s="556" t="s">
        <v>1</v>
      </c>
      <c r="B63" s="625" t="s">
        <v>128</v>
      </c>
      <c r="C63" s="626"/>
      <c r="D63" s="626"/>
      <c r="E63" s="626"/>
      <c r="F63" s="627"/>
      <c r="G63" s="599" t="s">
        <v>216</v>
      </c>
      <c r="H63" s="600"/>
      <c r="I63" s="600"/>
      <c r="J63" s="601"/>
      <c r="K63" s="558">
        <f>ROUND((B65*E65*F65)-G65,2)</f>
        <v>74.67</v>
      </c>
    </row>
    <row r="64" spans="1:11" ht="17.25" customHeight="1">
      <c r="A64" s="556"/>
      <c r="B64" s="612" t="s">
        <v>34</v>
      </c>
      <c r="C64" s="612"/>
      <c r="D64" s="612"/>
      <c r="E64" s="78" t="s">
        <v>32</v>
      </c>
      <c r="F64" s="82" t="s">
        <v>35</v>
      </c>
      <c r="G64" s="612" t="s">
        <v>139</v>
      </c>
      <c r="H64" s="612"/>
      <c r="I64" s="612"/>
      <c r="J64" s="612"/>
      <c r="K64" s="558"/>
    </row>
    <row r="65" spans="1:11" ht="17.25" customHeight="1">
      <c r="A65" s="556"/>
      <c r="B65" s="565">
        <v>2</v>
      </c>
      <c r="C65" s="565"/>
      <c r="D65" s="565"/>
      <c r="E65" s="70">
        <v>22</v>
      </c>
      <c r="F65" s="89">
        <v>3.55</v>
      </c>
      <c r="G65" s="558">
        <f>0.06*K26</f>
        <v>81.5316</v>
      </c>
      <c r="H65" s="558"/>
      <c r="I65" s="558"/>
      <c r="J65" s="558"/>
      <c r="K65" s="558"/>
    </row>
    <row r="66" spans="1:20" ht="17.25" customHeight="1">
      <c r="A66" s="556" t="s">
        <v>3</v>
      </c>
      <c r="B66" s="596" t="s">
        <v>81</v>
      </c>
      <c r="C66" s="597"/>
      <c r="D66" s="597"/>
      <c r="E66" s="597"/>
      <c r="F66" s="598"/>
      <c r="G66" s="599" t="s">
        <v>164</v>
      </c>
      <c r="H66" s="600"/>
      <c r="I66" s="600"/>
      <c r="J66" s="601"/>
      <c r="K66" s="558">
        <f>ROUND((B68-G68)*F68,2)</f>
        <v>347.6</v>
      </c>
      <c r="M66" s="615" t="s">
        <v>132</v>
      </c>
      <c r="N66" s="616"/>
      <c r="O66" s="616"/>
      <c r="P66" s="616"/>
      <c r="Q66" s="616"/>
      <c r="R66" s="616"/>
      <c r="S66" s="616"/>
      <c r="T66" s="617"/>
    </row>
    <row r="67" spans="1:20" ht="17.25" customHeight="1">
      <c r="A67" s="556"/>
      <c r="B67" s="556" t="s">
        <v>82</v>
      </c>
      <c r="C67" s="556"/>
      <c r="D67" s="556"/>
      <c r="E67" s="556"/>
      <c r="F67" s="78" t="s">
        <v>32</v>
      </c>
      <c r="G67" s="556" t="s">
        <v>131</v>
      </c>
      <c r="H67" s="556"/>
      <c r="I67" s="556"/>
      <c r="J67" s="556"/>
      <c r="K67" s="558"/>
      <c r="M67" s="618"/>
      <c r="N67" s="619"/>
      <c r="O67" s="619"/>
      <c r="P67" s="619"/>
      <c r="Q67" s="619"/>
      <c r="R67" s="619"/>
      <c r="S67" s="619"/>
      <c r="T67" s="620"/>
    </row>
    <row r="68" spans="1:20" ht="17.25" customHeight="1">
      <c r="A68" s="556"/>
      <c r="B68" s="604">
        <v>15.93</v>
      </c>
      <c r="C68" s="604"/>
      <c r="D68" s="604"/>
      <c r="E68" s="604"/>
      <c r="F68" s="40">
        <f>E65</f>
        <v>22</v>
      </c>
      <c r="G68" s="602">
        <v>0.13</v>
      </c>
      <c r="H68" s="602"/>
      <c r="I68" s="602"/>
      <c r="J68" s="602"/>
      <c r="K68" s="558"/>
      <c r="M68" s="621"/>
      <c r="N68" s="622"/>
      <c r="O68" s="622"/>
      <c r="P68" s="622"/>
      <c r="Q68" s="622"/>
      <c r="R68" s="622"/>
      <c r="S68" s="622"/>
      <c r="T68" s="623"/>
    </row>
    <row r="69" spans="1:11" ht="17.25" customHeight="1">
      <c r="A69" s="556" t="s">
        <v>5</v>
      </c>
      <c r="B69" s="596" t="s">
        <v>31</v>
      </c>
      <c r="C69" s="597"/>
      <c r="D69" s="597"/>
      <c r="E69" s="597"/>
      <c r="F69" s="598"/>
      <c r="G69" s="599" t="s">
        <v>164</v>
      </c>
      <c r="H69" s="600"/>
      <c r="I69" s="600"/>
      <c r="J69" s="601"/>
      <c r="K69" s="80"/>
    </row>
    <row r="70" spans="1:11" ht="17.25" customHeight="1">
      <c r="A70" s="556"/>
      <c r="B70" s="556" t="s">
        <v>82</v>
      </c>
      <c r="C70" s="556"/>
      <c r="D70" s="556"/>
      <c r="E70" s="556"/>
      <c r="F70" s="556"/>
      <c r="G70" s="556" t="s">
        <v>33</v>
      </c>
      <c r="H70" s="556"/>
      <c r="I70" s="556"/>
      <c r="J70" s="556"/>
      <c r="K70" s="558">
        <f>B71</f>
        <v>110.94</v>
      </c>
    </row>
    <row r="71" spans="1:11" ht="17.25" customHeight="1">
      <c r="A71" s="556"/>
      <c r="B71" s="605">
        <v>110.94</v>
      </c>
      <c r="C71" s="605"/>
      <c r="D71" s="605"/>
      <c r="E71" s="605"/>
      <c r="F71" s="605"/>
      <c r="G71" s="605">
        <v>0</v>
      </c>
      <c r="H71" s="605"/>
      <c r="I71" s="605"/>
      <c r="J71" s="605"/>
      <c r="K71" s="558"/>
    </row>
    <row r="72" spans="1:11" ht="17.25" customHeight="1">
      <c r="A72" s="556" t="s">
        <v>6</v>
      </c>
      <c r="B72" s="596" t="s">
        <v>165</v>
      </c>
      <c r="C72" s="597"/>
      <c r="D72" s="597"/>
      <c r="E72" s="597"/>
      <c r="F72" s="598"/>
      <c r="G72" s="599" t="s">
        <v>164</v>
      </c>
      <c r="H72" s="600"/>
      <c r="I72" s="600"/>
      <c r="J72" s="601"/>
      <c r="K72" s="602">
        <f>B74-G74</f>
        <v>28</v>
      </c>
    </row>
    <row r="73" spans="1:11" ht="17.25" customHeight="1">
      <c r="A73" s="556"/>
      <c r="B73" s="603" t="s">
        <v>166</v>
      </c>
      <c r="C73" s="603"/>
      <c r="D73" s="603"/>
      <c r="E73" s="603"/>
      <c r="F73" s="603"/>
      <c r="G73" s="556" t="s">
        <v>33</v>
      </c>
      <c r="H73" s="556"/>
      <c r="I73" s="556"/>
      <c r="J73" s="556"/>
      <c r="K73" s="602"/>
    </row>
    <row r="74" spans="1:11" ht="17.25" customHeight="1">
      <c r="A74" s="556"/>
      <c r="B74" s="604">
        <v>28</v>
      </c>
      <c r="C74" s="604"/>
      <c r="D74" s="604"/>
      <c r="E74" s="604"/>
      <c r="F74" s="604"/>
      <c r="G74" s="604">
        <v>0</v>
      </c>
      <c r="H74" s="604"/>
      <c r="I74" s="604"/>
      <c r="J74" s="604"/>
      <c r="K74" s="602"/>
    </row>
    <row r="75" spans="1:20" ht="17.25" customHeight="1">
      <c r="A75" s="556" t="s">
        <v>8</v>
      </c>
      <c r="B75" s="596" t="s">
        <v>129</v>
      </c>
      <c r="C75" s="597"/>
      <c r="D75" s="597"/>
      <c r="E75" s="597"/>
      <c r="F75" s="598"/>
      <c r="G75" s="599" t="s">
        <v>217</v>
      </c>
      <c r="H75" s="600"/>
      <c r="I75" s="600"/>
      <c r="J75" s="601"/>
      <c r="K75" s="602">
        <f>F77*G77</f>
        <v>0.12468</v>
      </c>
      <c r="M75" s="606" t="s">
        <v>136</v>
      </c>
      <c r="N75" s="607"/>
      <c r="O75" s="607"/>
      <c r="P75" s="607"/>
      <c r="Q75" s="607"/>
      <c r="R75" s="607"/>
      <c r="S75" s="607"/>
      <c r="T75" s="608"/>
    </row>
    <row r="76" spans="1:20" ht="17.25" customHeight="1">
      <c r="A76" s="556"/>
      <c r="B76" s="603" t="s">
        <v>133</v>
      </c>
      <c r="C76" s="603"/>
      <c r="D76" s="603"/>
      <c r="E76" s="603"/>
      <c r="F76" s="77" t="s">
        <v>134</v>
      </c>
      <c r="G76" s="612" t="s">
        <v>135</v>
      </c>
      <c r="H76" s="612"/>
      <c r="I76" s="612"/>
      <c r="J76" s="612"/>
      <c r="K76" s="602"/>
      <c r="M76" s="609"/>
      <c r="N76" s="610"/>
      <c r="O76" s="610"/>
      <c r="P76" s="610"/>
      <c r="Q76" s="610"/>
      <c r="R76" s="610"/>
      <c r="S76" s="610"/>
      <c r="T76" s="611"/>
    </row>
    <row r="77" spans="1:20" ht="17.25" customHeight="1">
      <c r="A77" s="556"/>
      <c r="B77" s="613">
        <f>K17</f>
        <v>1039</v>
      </c>
      <c r="C77" s="613"/>
      <c r="D77" s="613"/>
      <c r="E77" s="613"/>
      <c r="F77" s="76">
        <f>B77*0.2</f>
        <v>207.8</v>
      </c>
      <c r="G77" s="614">
        <v>0.0006</v>
      </c>
      <c r="H77" s="614"/>
      <c r="I77" s="614"/>
      <c r="J77" s="614"/>
      <c r="K77" s="602"/>
      <c r="M77" s="609"/>
      <c r="N77" s="610"/>
      <c r="O77" s="610"/>
      <c r="P77" s="610"/>
      <c r="Q77" s="610"/>
      <c r="R77" s="610"/>
      <c r="S77" s="610"/>
      <c r="T77" s="611"/>
    </row>
    <row r="78" spans="1:20" ht="17.25" customHeight="1">
      <c r="A78" s="556" t="s">
        <v>10</v>
      </c>
      <c r="B78" s="596" t="s">
        <v>130</v>
      </c>
      <c r="C78" s="597"/>
      <c r="D78" s="597"/>
      <c r="E78" s="597"/>
      <c r="F78" s="598"/>
      <c r="G78" s="599" t="s">
        <v>218</v>
      </c>
      <c r="H78" s="600"/>
      <c r="I78" s="600"/>
      <c r="J78" s="601"/>
      <c r="K78" s="602">
        <f>F80-G80</f>
        <v>3.3180000000000005</v>
      </c>
      <c r="M78" s="27"/>
      <c r="N78" s="27"/>
      <c r="O78" s="27"/>
      <c r="P78" s="27"/>
      <c r="Q78" s="27"/>
      <c r="R78" s="27"/>
      <c r="S78" s="27"/>
      <c r="T78" s="27"/>
    </row>
    <row r="79" spans="1:11" ht="17.25" customHeight="1">
      <c r="A79" s="556"/>
      <c r="B79" s="603" t="s">
        <v>137</v>
      </c>
      <c r="C79" s="603"/>
      <c r="D79" s="603"/>
      <c r="E79" s="603"/>
      <c r="F79" s="77" t="s">
        <v>138</v>
      </c>
      <c r="G79" s="556" t="s">
        <v>33</v>
      </c>
      <c r="H79" s="556"/>
      <c r="I79" s="556"/>
      <c r="J79" s="556"/>
      <c r="K79" s="602"/>
    </row>
    <row r="80" spans="1:11" ht="17.25" customHeight="1">
      <c r="A80" s="556"/>
      <c r="B80" s="604">
        <v>44.24</v>
      </c>
      <c r="C80" s="604"/>
      <c r="D80" s="604"/>
      <c r="E80" s="604"/>
      <c r="F80" s="76">
        <f>B80/12</f>
        <v>3.686666666666667</v>
      </c>
      <c r="G80" s="604">
        <f>F80*0.1</f>
        <v>0.3686666666666667</v>
      </c>
      <c r="H80" s="604"/>
      <c r="I80" s="604"/>
      <c r="J80" s="604"/>
      <c r="K80" s="602"/>
    </row>
    <row r="81" spans="1:11" ht="17.25" customHeight="1">
      <c r="A81" s="556" t="s">
        <v>11</v>
      </c>
      <c r="B81" s="596" t="s">
        <v>167</v>
      </c>
      <c r="C81" s="597"/>
      <c r="D81" s="597"/>
      <c r="E81" s="597"/>
      <c r="F81" s="598"/>
      <c r="G81" s="599" t="s">
        <v>219</v>
      </c>
      <c r="H81" s="600"/>
      <c r="I81" s="600"/>
      <c r="J81" s="601"/>
      <c r="K81" s="602">
        <f>B83-G83</f>
        <v>9.74</v>
      </c>
    </row>
    <row r="82" spans="1:11" ht="17.25" customHeight="1">
      <c r="A82" s="556"/>
      <c r="B82" s="603" t="s">
        <v>166</v>
      </c>
      <c r="C82" s="603"/>
      <c r="D82" s="603"/>
      <c r="E82" s="603"/>
      <c r="F82" s="603"/>
      <c r="G82" s="556" t="s">
        <v>33</v>
      </c>
      <c r="H82" s="556"/>
      <c r="I82" s="556"/>
      <c r="J82" s="556"/>
      <c r="K82" s="602"/>
    </row>
    <row r="83" spans="1:11" ht="17.25" customHeight="1">
      <c r="A83" s="556"/>
      <c r="B83" s="604">
        <v>9.74</v>
      </c>
      <c r="C83" s="604"/>
      <c r="D83" s="604"/>
      <c r="E83" s="604"/>
      <c r="F83" s="604"/>
      <c r="G83" s="604">
        <v>0</v>
      </c>
      <c r="H83" s="604"/>
      <c r="I83" s="604"/>
      <c r="J83" s="604"/>
      <c r="K83" s="602"/>
    </row>
    <row r="84" spans="1:11" ht="17.25" customHeight="1">
      <c r="A84" s="556" t="s">
        <v>12</v>
      </c>
      <c r="B84" s="596" t="s">
        <v>168</v>
      </c>
      <c r="C84" s="597"/>
      <c r="D84" s="597"/>
      <c r="E84" s="597"/>
      <c r="F84" s="598"/>
      <c r="G84" s="599" t="s">
        <v>219</v>
      </c>
      <c r="H84" s="600"/>
      <c r="I84" s="600"/>
      <c r="J84" s="601"/>
      <c r="K84" s="602">
        <f>B86-G86</f>
        <v>3.93</v>
      </c>
    </row>
    <row r="85" spans="1:11" ht="17.25" customHeight="1">
      <c r="A85" s="556"/>
      <c r="B85" s="603" t="s">
        <v>166</v>
      </c>
      <c r="C85" s="603"/>
      <c r="D85" s="603"/>
      <c r="E85" s="603"/>
      <c r="F85" s="603"/>
      <c r="G85" s="556" t="s">
        <v>33</v>
      </c>
      <c r="H85" s="556"/>
      <c r="I85" s="556"/>
      <c r="J85" s="556"/>
      <c r="K85" s="602"/>
    </row>
    <row r="86" spans="1:11" ht="17.25" customHeight="1">
      <c r="A86" s="556"/>
      <c r="B86" s="604">
        <v>3.93</v>
      </c>
      <c r="C86" s="604"/>
      <c r="D86" s="604"/>
      <c r="E86" s="604"/>
      <c r="F86" s="604"/>
      <c r="G86" s="604">
        <v>0</v>
      </c>
      <c r="H86" s="604"/>
      <c r="I86" s="604"/>
      <c r="J86" s="604"/>
      <c r="K86" s="602"/>
    </row>
    <row r="87" spans="1:11" ht="17.25" customHeight="1">
      <c r="A87" s="78" t="s">
        <v>14</v>
      </c>
      <c r="B87" s="605" t="s">
        <v>83</v>
      </c>
      <c r="C87" s="605"/>
      <c r="D87" s="605"/>
      <c r="E87" s="605"/>
      <c r="F87" s="605"/>
      <c r="G87" s="605"/>
      <c r="H87" s="605"/>
      <c r="I87" s="605"/>
      <c r="J87" s="605"/>
      <c r="K87" s="89"/>
    </row>
    <row r="88" spans="1:11" ht="17.25" customHeight="1">
      <c r="A88" s="581" t="s">
        <v>36</v>
      </c>
      <c r="B88" s="581"/>
      <c r="C88" s="581"/>
      <c r="D88" s="581"/>
      <c r="E88" s="581"/>
      <c r="F88" s="581"/>
      <c r="G88" s="581"/>
      <c r="H88" s="581"/>
      <c r="I88" s="581"/>
      <c r="J88" s="581"/>
      <c r="K88" s="12">
        <f>ROUND(SUM(K62:K87),2)</f>
        <v>578.32</v>
      </c>
    </row>
    <row r="89" spans="1:11" ht="17.25" customHeight="1">
      <c r="A89" s="560" t="s">
        <v>37</v>
      </c>
      <c r="B89" s="560"/>
      <c r="C89" s="560"/>
      <c r="D89" s="560"/>
      <c r="E89" s="560"/>
      <c r="F89" s="560"/>
      <c r="G89" s="560"/>
      <c r="H89" s="560"/>
      <c r="I89" s="560"/>
      <c r="J89" s="560"/>
      <c r="K89" s="11" t="e">
        <f>ROUND(SUM(K88,K59,K43),2)</f>
        <v>#N/A</v>
      </c>
    </row>
    <row r="90" spans="1:11" ht="6.75" customHeight="1">
      <c r="A90" s="571"/>
      <c r="B90" s="571"/>
      <c r="C90" s="571"/>
      <c r="D90" s="571"/>
      <c r="E90" s="571"/>
      <c r="F90" s="571"/>
      <c r="G90" s="571"/>
      <c r="H90" s="571"/>
      <c r="I90" s="571"/>
      <c r="J90" s="571"/>
      <c r="K90" s="571"/>
    </row>
    <row r="91" spans="1:20" ht="17.25" customHeight="1">
      <c r="A91" s="560" t="s">
        <v>38</v>
      </c>
      <c r="B91" s="560"/>
      <c r="C91" s="560"/>
      <c r="D91" s="560"/>
      <c r="E91" s="560"/>
      <c r="F91" s="560"/>
      <c r="G91" s="560"/>
      <c r="H91" s="560"/>
      <c r="I91" s="560"/>
      <c r="J91" s="560"/>
      <c r="K91" s="560"/>
      <c r="M91" s="562" t="s">
        <v>109</v>
      </c>
      <c r="N91" s="563"/>
      <c r="O91" s="563"/>
      <c r="P91" s="563"/>
      <c r="Q91" s="563"/>
      <c r="R91" s="563"/>
      <c r="S91" s="563"/>
      <c r="T91" s="564"/>
    </row>
    <row r="92" spans="1:20" ht="17.25" customHeight="1">
      <c r="A92" s="595" t="s">
        <v>68</v>
      </c>
      <c r="B92" s="595"/>
      <c r="C92" s="595"/>
      <c r="D92" s="595"/>
      <c r="E92" s="595"/>
      <c r="F92" s="595"/>
      <c r="G92" s="595"/>
      <c r="H92" s="595"/>
      <c r="I92" s="595"/>
      <c r="J92" s="595"/>
      <c r="K92" s="11">
        <f>K35</f>
        <v>1358.86</v>
      </c>
      <c r="M92" s="568"/>
      <c r="N92" s="569"/>
      <c r="O92" s="569"/>
      <c r="P92" s="569"/>
      <c r="Q92" s="569"/>
      <c r="R92" s="569"/>
      <c r="S92" s="569"/>
      <c r="T92" s="570"/>
    </row>
    <row r="93" spans="1:20" ht="17.25" customHeight="1">
      <c r="A93" s="595" t="s">
        <v>79</v>
      </c>
      <c r="B93" s="595"/>
      <c r="C93" s="595"/>
      <c r="D93" s="595"/>
      <c r="E93" s="595"/>
      <c r="F93" s="595"/>
      <c r="G93" s="595"/>
      <c r="H93" s="595"/>
      <c r="I93" s="595"/>
      <c r="J93" s="595"/>
      <c r="K93" s="11">
        <f>K43</f>
        <v>264.16</v>
      </c>
      <c r="M93" s="562" t="s">
        <v>110</v>
      </c>
      <c r="N93" s="563"/>
      <c r="O93" s="563"/>
      <c r="P93" s="563"/>
      <c r="Q93" s="563"/>
      <c r="R93" s="563"/>
      <c r="S93" s="563"/>
      <c r="T93" s="564"/>
    </row>
    <row r="94" spans="1:20" ht="17.25" customHeight="1">
      <c r="A94" s="595" t="s">
        <v>80</v>
      </c>
      <c r="B94" s="595"/>
      <c r="C94" s="595"/>
      <c r="D94" s="595"/>
      <c r="E94" s="595"/>
      <c r="F94" s="595"/>
      <c r="G94" s="595"/>
      <c r="H94" s="595"/>
      <c r="I94" s="595"/>
      <c r="J94" s="595"/>
      <c r="K94" s="11">
        <f>SUM(K92:K93)</f>
        <v>1623.02</v>
      </c>
      <c r="M94" s="568"/>
      <c r="N94" s="569"/>
      <c r="O94" s="569"/>
      <c r="P94" s="569"/>
      <c r="Q94" s="569"/>
      <c r="R94" s="569"/>
      <c r="S94" s="569"/>
      <c r="T94" s="570"/>
    </row>
    <row r="95" spans="1:20" ht="17.25" customHeight="1">
      <c r="A95" s="572"/>
      <c r="B95" s="572"/>
      <c r="C95" s="572"/>
      <c r="D95" s="572"/>
      <c r="E95" s="572"/>
      <c r="F95" s="572"/>
      <c r="G95" s="572"/>
      <c r="H95" s="560" t="s">
        <v>19</v>
      </c>
      <c r="I95" s="560"/>
      <c r="J95" s="560"/>
      <c r="K95" s="81" t="s">
        <v>20</v>
      </c>
      <c r="M95" s="562" t="s">
        <v>244</v>
      </c>
      <c r="N95" s="563"/>
      <c r="O95" s="563"/>
      <c r="P95" s="563"/>
      <c r="Q95" s="563"/>
      <c r="R95" s="563"/>
      <c r="S95" s="563"/>
      <c r="T95" s="564"/>
    </row>
    <row r="96" spans="1:20" ht="17.25" customHeight="1">
      <c r="A96" s="78" t="s">
        <v>1</v>
      </c>
      <c r="B96" s="591" t="s">
        <v>39</v>
      </c>
      <c r="C96" s="591"/>
      <c r="D96" s="591"/>
      <c r="E96" s="591"/>
      <c r="F96" s="591"/>
      <c r="G96" s="591"/>
      <c r="H96" s="557">
        <v>0.0046</v>
      </c>
      <c r="I96" s="557"/>
      <c r="J96" s="557"/>
      <c r="K96" s="80" t="e">
        <f>#N/A</f>
        <v>#N/A</v>
      </c>
      <c r="M96" s="587"/>
      <c r="N96" s="588"/>
      <c r="O96" s="588"/>
      <c r="P96" s="588"/>
      <c r="Q96" s="588"/>
      <c r="R96" s="588"/>
      <c r="S96" s="588"/>
      <c r="T96" s="589"/>
    </row>
    <row r="97" spans="1:20" ht="17.25" customHeight="1">
      <c r="A97" s="78" t="s">
        <v>3</v>
      </c>
      <c r="B97" s="591" t="s">
        <v>40</v>
      </c>
      <c r="C97" s="591"/>
      <c r="D97" s="591"/>
      <c r="E97" s="591"/>
      <c r="F97" s="591"/>
      <c r="G97" s="591"/>
      <c r="H97" s="557">
        <v>0.0003</v>
      </c>
      <c r="I97" s="557"/>
      <c r="J97" s="557"/>
      <c r="K97" s="80" t="e">
        <f>#N/A</f>
        <v>#N/A</v>
      </c>
      <c r="M97" s="587"/>
      <c r="N97" s="588"/>
      <c r="O97" s="588"/>
      <c r="P97" s="588"/>
      <c r="Q97" s="588"/>
      <c r="R97" s="588"/>
      <c r="S97" s="588"/>
      <c r="T97" s="589"/>
    </row>
    <row r="98" spans="1:20" ht="22.5" customHeight="1">
      <c r="A98" s="78" t="s">
        <v>5</v>
      </c>
      <c r="B98" s="590" t="s">
        <v>106</v>
      </c>
      <c r="C98" s="590"/>
      <c r="D98" s="590"/>
      <c r="E98" s="590"/>
      <c r="F98" s="590"/>
      <c r="G98" s="590"/>
      <c r="H98" s="557">
        <v>0.0344</v>
      </c>
      <c r="I98" s="557"/>
      <c r="J98" s="557"/>
      <c r="K98" s="80" t="e">
        <f>#N/A</f>
        <v>#N/A</v>
      </c>
      <c r="M98" s="587"/>
      <c r="N98" s="588"/>
      <c r="O98" s="588"/>
      <c r="P98" s="588"/>
      <c r="Q98" s="588"/>
      <c r="R98" s="588"/>
      <c r="S98" s="588"/>
      <c r="T98" s="589"/>
    </row>
    <row r="99" spans="1:20" ht="17.25" customHeight="1">
      <c r="A99" s="78" t="s">
        <v>6</v>
      </c>
      <c r="B99" s="591" t="s">
        <v>41</v>
      </c>
      <c r="C99" s="591"/>
      <c r="D99" s="591"/>
      <c r="E99" s="591"/>
      <c r="F99" s="591"/>
      <c r="G99" s="591"/>
      <c r="H99" s="557">
        <v>0.0194</v>
      </c>
      <c r="I99" s="557"/>
      <c r="J99" s="557"/>
      <c r="K99" s="80" t="e">
        <f>#N/A</f>
        <v>#N/A</v>
      </c>
      <c r="M99" s="587"/>
      <c r="N99" s="588"/>
      <c r="O99" s="588"/>
      <c r="P99" s="588"/>
      <c r="Q99" s="588"/>
      <c r="R99" s="588"/>
      <c r="S99" s="588"/>
      <c r="T99" s="589"/>
    </row>
    <row r="100" spans="1:20" ht="17.25" customHeight="1">
      <c r="A100" s="78" t="s">
        <v>8</v>
      </c>
      <c r="B100" s="591" t="s">
        <v>42</v>
      </c>
      <c r="C100" s="591"/>
      <c r="D100" s="591"/>
      <c r="E100" s="591"/>
      <c r="F100" s="591"/>
      <c r="G100" s="591"/>
      <c r="H100" s="557">
        <v>0.007721200000000002</v>
      </c>
      <c r="I100" s="557"/>
      <c r="J100" s="557"/>
      <c r="K100" s="80" t="e">
        <f>#N/A</f>
        <v>#N/A</v>
      </c>
      <c r="M100" s="568"/>
      <c r="N100" s="569"/>
      <c r="O100" s="569"/>
      <c r="P100" s="569"/>
      <c r="Q100" s="569"/>
      <c r="R100" s="569"/>
      <c r="S100" s="569"/>
      <c r="T100" s="570"/>
    </row>
    <row r="101" spans="1:20" ht="24" customHeight="1">
      <c r="A101" s="78" t="s">
        <v>10</v>
      </c>
      <c r="B101" s="590" t="s">
        <v>107</v>
      </c>
      <c r="C101" s="590"/>
      <c r="D101" s="590"/>
      <c r="E101" s="590"/>
      <c r="F101" s="590"/>
      <c r="G101" s="590"/>
      <c r="H101" s="557">
        <v>0.00024707840000000005</v>
      </c>
      <c r="I101" s="557"/>
      <c r="J101" s="557"/>
      <c r="K101" s="80" t="e">
        <f>#N/A</f>
        <v>#N/A</v>
      </c>
      <c r="M101" s="562" t="s">
        <v>111</v>
      </c>
      <c r="N101" s="563"/>
      <c r="O101" s="563"/>
      <c r="P101" s="563"/>
      <c r="Q101" s="563"/>
      <c r="R101" s="563"/>
      <c r="S101" s="563"/>
      <c r="T101" s="564"/>
    </row>
    <row r="102" spans="1:20" ht="17.25" customHeight="1">
      <c r="A102" s="560" t="s">
        <v>43</v>
      </c>
      <c r="B102" s="560"/>
      <c r="C102" s="560"/>
      <c r="D102" s="560"/>
      <c r="E102" s="560"/>
      <c r="F102" s="560"/>
      <c r="G102" s="560"/>
      <c r="H102" s="594">
        <f>SUM(H96:J101)</f>
        <v>0.0666682784</v>
      </c>
      <c r="I102" s="560"/>
      <c r="J102" s="560"/>
      <c r="K102" s="11" t="e">
        <f>ROUND(SUM(K96:K101),2)</f>
        <v>#N/A</v>
      </c>
      <c r="M102" s="568"/>
      <c r="N102" s="569"/>
      <c r="O102" s="569"/>
      <c r="P102" s="569"/>
      <c r="Q102" s="569"/>
      <c r="R102" s="569"/>
      <c r="S102" s="569"/>
      <c r="T102" s="570"/>
    </row>
    <row r="103" spans="1:20" ht="6.75" customHeight="1">
      <c r="A103" s="571"/>
      <c r="B103" s="571"/>
      <c r="C103" s="571"/>
      <c r="D103" s="571"/>
      <c r="E103" s="571"/>
      <c r="F103" s="571"/>
      <c r="G103" s="571"/>
      <c r="H103" s="571"/>
      <c r="I103" s="571"/>
      <c r="J103" s="571"/>
      <c r="K103" s="571"/>
      <c r="M103" s="562" t="s">
        <v>245</v>
      </c>
      <c r="N103" s="563"/>
      <c r="O103" s="563"/>
      <c r="P103" s="563"/>
      <c r="Q103" s="563"/>
      <c r="R103" s="563"/>
      <c r="S103" s="563"/>
      <c r="T103" s="564"/>
    </row>
    <row r="104" spans="1:20" ht="17.25" customHeight="1">
      <c r="A104" s="560" t="s">
        <v>44</v>
      </c>
      <c r="B104" s="560"/>
      <c r="C104" s="560"/>
      <c r="D104" s="560"/>
      <c r="E104" s="560"/>
      <c r="F104" s="560"/>
      <c r="G104" s="560"/>
      <c r="H104" s="560"/>
      <c r="I104" s="560"/>
      <c r="J104" s="560"/>
      <c r="K104" s="560"/>
      <c r="M104" s="587"/>
      <c r="N104" s="588"/>
      <c r="O104" s="588"/>
      <c r="P104" s="588"/>
      <c r="Q104" s="588"/>
      <c r="R104" s="588"/>
      <c r="S104" s="588"/>
      <c r="T104" s="589"/>
    </row>
    <row r="105" spans="1:20" ht="17.25" customHeight="1">
      <c r="A105" s="581" t="s">
        <v>85</v>
      </c>
      <c r="B105" s="581"/>
      <c r="C105" s="581"/>
      <c r="D105" s="581"/>
      <c r="E105" s="581"/>
      <c r="F105" s="581"/>
      <c r="G105" s="581"/>
      <c r="H105" s="581"/>
      <c r="I105" s="581"/>
      <c r="J105" s="581"/>
      <c r="K105" s="581"/>
      <c r="M105" s="587"/>
      <c r="N105" s="588"/>
      <c r="O105" s="588"/>
      <c r="P105" s="588"/>
      <c r="Q105" s="588"/>
      <c r="R105" s="588"/>
      <c r="S105" s="588"/>
      <c r="T105" s="589"/>
    </row>
    <row r="106" spans="1:20" ht="17.25" customHeight="1">
      <c r="A106" s="595" t="s">
        <v>68</v>
      </c>
      <c r="B106" s="595"/>
      <c r="C106" s="595"/>
      <c r="D106" s="595"/>
      <c r="E106" s="595"/>
      <c r="F106" s="595"/>
      <c r="G106" s="595"/>
      <c r="H106" s="595"/>
      <c r="I106" s="595"/>
      <c r="J106" s="595"/>
      <c r="K106" s="11">
        <f>K35</f>
        <v>1358.86</v>
      </c>
      <c r="M106" s="587"/>
      <c r="N106" s="588"/>
      <c r="O106" s="588"/>
      <c r="P106" s="588"/>
      <c r="Q106" s="588"/>
      <c r="R106" s="588"/>
      <c r="S106" s="588"/>
      <c r="T106" s="589"/>
    </row>
    <row r="107" spans="1:20" ht="17.25" customHeight="1">
      <c r="A107" s="595" t="s">
        <v>79</v>
      </c>
      <c r="B107" s="595"/>
      <c r="C107" s="595"/>
      <c r="D107" s="595"/>
      <c r="E107" s="595"/>
      <c r="F107" s="595"/>
      <c r="G107" s="595"/>
      <c r="H107" s="595"/>
      <c r="I107" s="595"/>
      <c r="J107" s="595"/>
      <c r="K107" s="11">
        <f>K43</f>
        <v>264.16</v>
      </c>
      <c r="M107" s="568"/>
      <c r="N107" s="569"/>
      <c r="O107" s="569"/>
      <c r="P107" s="569"/>
      <c r="Q107" s="569"/>
      <c r="R107" s="569"/>
      <c r="S107" s="569"/>
      <c r="T107" s="570"/>
    </row>
    <row r="108" spans="1:11" ht="17.25" customHeight="1">
      <c r="A108" s="595" t="s">
        <v>80</v>
      </c>
      <c r="B108" s="595"/>
      <c r="C108" s="595"/>
      <c r="D108" s="595"/>
      <c r="E108" s="595"/>
      <c r="F108" s="595"/>
      <c r="G108" s="595"/>
      <c r="H108" s="595"/>
      <c r="I108" s="595"/>
      <c r="J108" s="595"/>
      <c r="K108" s="11">
        <f>SUM(K106:K107)</f>
        <v>1623.02</v>
      </c>
    </row>
    <row r="109" spans="1:11" ht="17.25" customHeight="1">
      <c r="A109" s="572"/>
      <c r="B109" s="572"/>
      <c r="C109" s="572"/>
      <c r="D109" s="572"/>
      <c r="E109" s="572"/>
      <c r="F109" s="572"/>
      <c r="G109" s="572"/>
      <c r="H109" s="560" t="s">
        <v>19</v>
      </c>
      <c r="I109" s="560"/>
      <c r="J109" s="560"/>
      <c r="K109" s="81" t="s">
        <v>20</v>
      </c>
    </row>
    <row r="110" spans="1:11" ht="17.25" customHeight="1">
      <c r="A110" s="78" t="s">
        <v>1</v>
      </c>
      <c r="B110" s="591" t="s">
        <v>86</v>
      </c>
      <c r="C110" s="591"/>
      <c r="D110" s="591"/>
      <c r="E110" s="591"/>
      <c r="F110" s="591"/>
      <c r="G110" s="591"/>
      <c r="H110" s="557">
        <v>0.0833</v>
      </c>
      <c r="I110" s="557"/>
      <c r="J110" s="557"/>
      <c r="K110" s="80">
        <f>ROUND(H110*$K$108,2)</f>
        <v>135.2</v>
      </c>
    </row>
    <row r="111" spans="1:20" ht="17.25" customHeight="1">
      <c r="A111" s="556" t="s">
        <v>3</v>
      </c>
      <c r="B111" s="549" t="s">
        <v>87</v>
      </c>
      <c r="C111" s="549"/>
      <c r="D111" s="549"/>
      <c r="E111" s="549"/>
      <c r="F111" s="549"/>
      <c r="G111" s="549"/>
      <c r="H111" s="549"/>
      <c r="I111" s="549"/>
      <c r="J111" s="549"/>
      <c r="K111" s="558">
        <f>ROUND(H112*K108,2)</f>
        <v>26.46</v>
      </c>
      <c r="M111" s="562" t="s">
        <v>112</v>
      </c>
      <c r="N111" s="563"/>
      <c r="O111" s="563"/>
      <c r="P111" s="563"/>
      <c r="Q111" s="563"/>
      <c r="R111" s="563"/>
      <c r="S111" s="563"/>
      <c r="T111" s="564"/>
    </row>
    <row r="112" spans="1:20" ht="17.25" customHeight="1">
      <c r="A112" s="556"/>
      <c r="B112" s="79" t="s">
        <v>88</v>
      </c>
      <c r="C112" s="79"/>
      <c r="D112" s="79"/>
      <c r="E112" s="79"/>
      <c r="F112" s="592">
        <v>5.96</v>
      </c>
      <c r="G112" s="593"/>
      <c r="H112" s="557">
        <v>0.0163</v>
      </c>
      <c r="I112" s="557"/>
      <c r="J112" s="557"/>
      <c r="K112" s="558"/>
      <c r="M112" s="568"/>
      <c r="N112" s="569"/>
      <c r="O112" s="569"/>
      <c r="P112" s="569"/>
      <c r="Q112" s="569"/>
      <c r="R112" s="569"/>
      <c r="S112" s="569"/>
      <c r="T112" s="570"/>
    </row>
    <row r="113" spans="1:20" ht="17.25" customHeight="1">
      <c r="A113" s="556" t="s">
        <v>5</v>
      </c>
      <c r="B113" s="549" t="s">
        <v>89</v>
      </c>
      <c r="C113" s="549"/>
      <c r="D113" s="549"/>
      <c r="E113" s="549"/>
      <c r="F113" s="549"/>
      <c r="G113" s="549"/>
      <c r="H113" s="549"/>
      <c r="I113" s="549"/>
      <c r="J113" s="549"/>
      <c r="K113" s="558">
        <f>ROUND(H114*K108,2)</f>
        <v>0.24</v>
      </c>
      <c r="M113" s="562" t="s">
        <v>113</v>
      </c>
      <c r="N113" s="563"/>
      <c r="O113" s="563"/>
      <c r="P113" s="563"/>
      <c r="Q113" s="563"/>
      <c r="R113" s="563"/>
      <c r="S113" s="563"/>
      <c r="T113" s="564"/>
    </row>
    <row r="114" spans="1:20" ht="17.25" customHeight="1">
      <c r="A114" s="556"/>
      <c r="B114" s="590" t="s">
        <v>45</v>
      </c>
      <c r="C114" s="590"/>
      <c r="D114" s="590"/>
      <c r="E114" s="590"/>
      <c r="F114" s="590"/>
      <c r="G114" s="590"/>
      <c r="H114" s="583">
        <v>0.00015</v>
      </c>
      <c r="I114" s="583"/>
      <c r="J114" s="583"/>
      <c r="K114" s="558"/>
      <c r="M114" s="568"/>
      <c r="N114" s="569"/>
      <c r="O114" s="569"/>
      <c r="P114" s="569"/>
      <c r="Q114" s="569"/>
      <c r="R114" s="569"/>
      <c r="S114" s="569"/>
      <c r="T114" s="570"/>
    </row>
    <row r="115" spans="1:20" ht="17.25" customHeight="1">
      <c r="A115" s="556" t="s">
        <v>6</v>
      </c>
      <c r="B115" s="549" t="s">
        <v>90</v>
      </c>
      <c r="C115" s="549"/>
      <c r="D115" s="549"/>
      <c r="E115" s="549"/>
      <c r="F115" s="549"/>
      <c r="G115" s="549"/>
      <c r="H115" s="549"/>
      <c r="I115" s="549"/>
      <c r="J115" s="549"/>
      <c r="K115" s="558">
        <f>ROUND(H116*K108,2)</f>
        <v>5.36</v>
      </c>
      <c r="M115" s="562" t="s">
        <v>114</v>
      </c>
      <c r="N115" s="563"/>
      <c r="O115" s="563"/>
      <c r="P115" s="563"/>
      <c r="Q115" s="563"/>
      <c r="R115" s="563"/>
      <c r="S115" s="563"/>
      <c r="T115" s="564"/>
    </row>
    <row r="116" spans="1:20" ht="15" customHeight="1">
      <c r="A116" s="556"/>
      <c r="B116" s="590" t="s">
        <v>45</v>
      </c>
      <c r="C116" s="590"/>
      <c r="D116" s="590"/>
      <c r="E116" s="590"/>
      <c r="F116" s="590"/>
      <c r="G116" s="590"/>
      <c r="H116" s="557">
        <v>0.0033</v>
      </c>
      <c r="I116" s="557"/>
      <c r="J116" s="557"/>
      <c r="K116" s="558"/>
      <c r="M116" s="587"/>
      <c r="N116" s="588"/>
      <c r="O116" s="588"/>
      <c r="P116" s="588"/>
      <c r="Q116" s="588"/>
      <c r="R116" s="588"/>
      <c r="S116" s="588"/>
      <c r="T116" s="589"/>
    </row>
    <row r="117" spans="1:20" ht="18" customHeight="1">
      <c r="A117" s="556" t="s">
        <v>8</v>
      </c>
      <c r="B117" s="549" t="s">
        <v>91</v>
      </c>
      <c r="C117" s="549"/>
      <c r="D117" s="549"/>
      <c r="E117" s="549"/>
      <c r="F117" s="549"/>
      <c r="G117" s="549"/>
      <c r="H117" s="549"/>
      <c r="I117" s="549"/>
      <c r="J117" s="549"/>
      <c r="K117" s="558">
        <f>ROUND(H118*K108,2)</f>
        <v>0.89</v>
      </c>
      <c r="M117" s="587"/>
      <c r="N117" s="588"/>
      <c r="O117" s="588"/>
      <c r="P117" s="588"/>
      <c r="Q117" s="588"/>
      <c r="R117" s="588"/>
      <c r="S117" s="588"/>
      <c r="T117" s="589"/>
    </row>
    <row r="118" spans="1:20" ht="18" customHeight="1">
      <c r="A118" s="556"/>
      <c r="B118" s="591" t="s">
        <v>46</v>
      </c>
      <c r="C118" s="591"/>
      <c r="D118" s="591"/>
      <c r="E118" s="591"/>
      <c r="F118" s="591"/>
      <c r="G118" s="591"/>
      <c r="H118" s="583">
        <v>0.00055</v>
      </c>
      <c r="I118" s="583"/>
      <c r="J118" s="583"/>
      <c r="K118" s="558"/>
      <c r="M118" s="568"/>
      <c r="N118" s="569"/>
      <c r="O118" s="569"/>
      <c r="P118" s="569"/>
      <c r="Q118" s="569"/>
      <c r="R118" s="569"/>
      <c r="S118" s="569"/>
      <c r="T118" s="570"/>
    </row>
    <row r="119" spans="1:20" ht="18" customHeight="1">
      <c r="A119" s="78" t="s">
        <v>10</v>
      </c>
      <c r="B119" s="580" t="s">
        <v>104</v>
      </c>
      <c r="C119" s="580"/>
      <c r="D119" s="580"/>
      <c r="E119" s="580"/>
      <c r="F119" s="580"/>
      <c r="G119" s="580"/>
      <c r="H119" s="580"/>
      <c r="I119" s="580"/>
      <c r="J119" s="580"/>
      <c r="K119" s="89"/>
      <c r="M119" s="562" t="s">
        <v>115</v>
      </c>
      <c r="N119" s="563"/>
      <c r="O119" s="563"/>
      <c r="P119" s="563"/>
      <c r="Q119" s="563"/>
      <c r="R119" s="563"/>
      <c r="S119" s="563"/>
      <c r="T119" s="564"/>
    </row>
    <row r="120" spans="1:20" ht="18" customHeight="1">
      <c r="A120" s="78"/>
      <c r="B120" s="566" t="s">
        <v>47</v>
      </c>
      <c r="C120" s="566"/>
      <c r="D120" s="566"/>
      <c r="E120" s="566"/>
      <c r="F120" s="566"/>
      <c r="G120" s="566"/>
      <c r="H120" s="585">
        <f>SUM(H110,H112,H114,H116,H118)</f>
        <v>0.10359999999999998</v>
      </c>
      <c r="I120" s="585"/>
      <c r="J120" s="585"/>
      <c r="K120" s="13">
        <f>SUM(K110:K119)</f>
        <v>168.15</v>
      </c>
      <c r="M120" s="568"/>
      <c r="N120" s="569"/>
      <c r="O120" s="569"/>
      <c r="P120" s="569"/>
      <c r="Q120" s="569"/>
      <c r="R120" s="569"/>
      <c r="S120" s="569"/>
      <c r="T120" s="570"/>
    </row>
    <row r="121" spans="1:20" ht="18" customHeight="1">
      <c r="A121" s="78" t="s">
        <v>11</v>
      </c>
      <c r="B121" s="556" t="s">
        <v>48</v>
      </c>
      <c r="C121" s="556"/>
      <c r="D121" s="556"/>
      <c r="E121" s="556"/>
      <c r="F121" s="556"/>
      <c r="G121" s="556"/>
      <c r="H121" s="585">
        <f>H120*I59</f>
        <v>0.0412328</v>
      </c>
      <c r="I121" s="585"/>
      <c r="J121" s="585"/>
      <c r="K121" s="80">
        <f>ROUND(H121*K108,2)</f>
        <v>66.92</v>
      </c>
      <c r="M121" s="28"/>
      <c r="N121" s="28"/>
      <c r="O121" s="28"/>
      <c r="P121" s="28"/>
      <c r="Q121" s="28"/>
      <c r="R121" s="28"/>
      <c r="S121" s="28"/>
      <c r="T121" s="28"/>
    </row>
    <row r="122" spans="1:20" ht="18" customHeight="1">
      <c r="A122" s="581" t="s">
        <v>49</v>
      </c>
      <c r="B122" s="581"/>
      <c r="C122" s="581"/>
      <c r="D122" s="581"/>
      <c r="E122" s="581"/>
      <c r="F122" s="581"/>
      <c r="G122" s="581"/>
      <c r="H122" s="586">
        <f>SUM(H120:J121)</f>
        <v>0.14483279999999998</v>
      </c>
      <c r="I122" s="581"/>
      <c r="J122" s="581"/>
      <c r="K122" s="12">
        <f>SUM(K120:K121)</f>
        <v>235.07</v>
      </c>
      <c r="M122" s="28"/>
      <c r="N122" s="29"/>
      <c r="O122" s="29"/>
      <c r="P122" s="29"/>
      <c r="Q122" s="29"/>
      <c r="R122" s="29"/>
      <c r="S122" s="29"/>
      <c r="T122" s="29"/>
    </row>
    <row r="123" spans="1:20" s="2" customFormat="1" ht="5.25" customHeight="1">
      <c r="A123" s="584"/>
      <c r="B123" s="584"/>
      <c r="C123" s="584"/>
      <c r="D123" s="584"/>
      <c r="E123" s="584"/>
      <c r="F123" s="584"/>
      <c r="G123" s="584"/>
      <c r="H123" s="584"/>
      <c r="I123" s="584"/>
      <c r="J123" s="584"/>
      <c r="K123" s="584"/>
      <c r="M123" s="22"/>
      <c r="N123" s="22"/>
      <c r="O123" s="22"/>
      <c r="P123" s="22"/>
      <c r="Q123" s="22"/>
      <c r="R123" s="22"/>
      <c r="S123" s="22"/>
      <c r="T123" s="22"/>
    </row>
    <row r="124" spans="1:11" ht="17.25" customHeight="1">
      <c r="A124" s="566" t="s">
        <v>92</v>
      </c>
      <c r="B124" s="566"/>
      <c r="C124" s="566"/>
      <c r="D124" s="566"/>
      <c r="E124" s="566"/>
      <c r="F124" s="566"/>
      <c r="G124" s="566"/>
      <c r="H124" s="566"/>
      <c r="I124" s="566"/>
      <c r="J124" s="566"/>
      <c r="K124" s="566"/>
    </row>
    <row r="125" spans="1:11" ht="17.25" customHeight="1">
      <c r="A125" s="572"/>
      <c r="B125" s="572"/>
      <c r="C125" s="572"/>
      <c r="D125" s="572"/>
      <c r="E125" s="572"/>
      <c r="F125" s="572"/>
      <c r="G125" s="572"/>
      <c r="H125" s="572"/>
      <c r="I125" s="572"/>
      <c r="J125" s="572"/>
      <c r="K125" s="81" t="s">
        <v>20</v>
      </c>
    </row>
    <row r="126" spans="1:11" ht="17.25" customHeight="1">
      <c r="A126" s="78" t="s">
        <v>1</v>
      </c>
      <c r="B126" s="549" t="s">
        <v>93</v>
      </c>
      <c r="C126" s="549"/>
      <c r="D126" s="549"/>
      <c r="E126" s="549"/>
      <c r="F126" s="549"/>
      <c r="G126" s="549"/>
      <c r="H126" s="549"/>
      <c r="I126" s="549"/>
      <c r="J126" s="549"/>
      <c r="K126" s="80">
        <v>0</v>
      </c>
    </row>
    <row r="127" spans="1:11" ht="17.25" customHeight="1">
      <c r="A127" s="581" t="s">
        <v>50</v>
      </c>
      <c r="B127" s="581"/>
      <c r="C127" s="581"/>
      <c r="D127" s="581"/>
      <c r="E127" s="581"/>
      <c r="F127" s="581"/>
      <c r="G127" s="581"/>
      <c r="H127" s="581"/>
      <c r="I127" s="581"/>
      <c r="J127" s="581"/>
      <c r="K127" s="12">
        <f>K126</f>
        <v>0</v>
      </c>
    </row>
    <row r="128" spans="1:11" ht="5.25" customHeight="1">
      <c r="A128" s="582"/>
      <c r="B128" s="582"/>
      <c r="C128" s="582"/>
      <c r="D128" s="582"/>
      <c r="E128" s="582"/>
      <c r="F128" s="582"/>
      <c r="G128" s="582"/>
      <c r="H128" s="582"/>
      <c r="I128" s="582"/>
      <c r="J128" s="582"/>
      <c r="K128" s="582"/>
    </row>
    <row r="129" spans="1:11" ht="17.25" customHeight="1">
      <c r="A129" s="560" t="s">
        <v>51</v>
      </c>
      <c r="B129" s="560"/>
      <c r="C129" s="560"/>
      <c r="D129" s="560"/>
      <c r="E129" s="560"/>
      <c r="F129" s="560"/>
      <c r="G129" s="560"/>
      <c r="H129" s="560"/>
      <c r="I129" s="560"/>
      <c r="J129" s="560"/>
      <c r="K129" s="11">
        <f>SUM(K122,K127)</f>
        <v>235.07</v>
      </c>
    </row>
    <row r="130" spans="1:11" ht="6.75" customHeight="1">
      <c r="A130" s="571"/>
      <c r="B130" s="571"/>
      <c r="C130" s="571"/>
      <c r="D130" s="571"/>
      <c r="E130" s="571"/>
      <c r="F130" s="571"/>
      <c r="G130" s="571"/>
      <c r="H130" s="571"/>
      <c r="I130" s="571"/>
      <c r="J130" s="571"/>
      <c r="K130" s="571"/>
    </row>
    <row r="131" spans="1:11" ht="17.25" customHeight="1">
      <c r="A131" s="560" t="s">
        <v>52</v>
      </c>
      <c r="B131" s="560"/>
      <c r="C131" s="560"/>
      <c r="D131" s="560"/>
      <c r="E131" s="560"/>
      <c r="F131" s="560"/>
      <c r="G131" s="560"/>
      <c r="H131" s="560"/>
      <c r="I131" s="560"/>
      <c r="J131" s="560"/>
      <c r="K131" s="560"/>
    </row>
    <row r="132" spans="1:11" ht="17.25" customHeight="1">
      <c r="A132" s="78" t="s">
        <v>1</v>
      </c>
      <c r="B132" s="549" t="s">
        <v>188</v>
      </c>
      <c r="C132" s="549"/>
      <c r="D132" s="549"/>
      <c r="E132" s="549"/>
      <c r="F132" s="549"/>
      <c r="G132" s="549"/>
      <c r="H132" s="549"/>
      <c r="I132" s="549"/>
      <c r="J132" s="549"/>
      <c r="K132" s="14">
        <v>35.7275</v>
      </c>
    </row>
    <row r="133" spans="1:11" ht="17.25" customHeight="1">
      <c r="A133" s="78" t="s">
        <v>3</v>
      </c>
      <c r="B133" s="84" t="s">
        <v>189</v>
      </c>
      <c r="C133" s="84"/>
      <c r="D133" s="84"/>
      <c r="E133" s="84"/>
      <c r="F133" s="574" t="s">
        <v>190</v>
      </c>
      <c r="G133" s="575"/>
      <c r="H133" s="575"/>
      <c r="I133" s="576"/>
      <c r="J133" s="63">
        <v>0.12</v>
      </c>
      <c r="K133" s="14" t="e">
        <f>(K35+K89+K102+K129+K132)*J133</f>
        <v>#N/A</v>
      </c>
    </row>
    <row r="134" spans="1:11" ht="17.25" customHeight="1">
      <c r="A134" s="78" t="s">
        <v>5</v>
      </c>
      <c r="B134" s="580" t="s">
        <v>22</v>
      </c>
      <c r="C134" s="580"/>
      <c r="D134" s="580"/>
      <c r="E134" s="580"/>
      <c r="F134" s="580"/>
      <c r="G134" s="580"/>
      <c r="H134" s="580"/>
      <c r="I134" s="580"/>
      <c r="J134" s="580"/>
      <c r="K134" s="89"/>
    </row>
    <row r="135" spans="1:11" ht="17.25" customHeight="1">
      <c r="A135" s="560" t="s">
        <v>53</v>
      </c>
      <c r="B135" s="560"/>
      <c r="C135" s="560"/>
      <c r="D135" s="560"/>
      <c r="E135" s="560"/>
      <c r="F135" s="560"/>
      <c r="G135" s="560"/>
      <c r="H135" s="560"/>
      <c r="I135" s="560"/>
      <c r="J135" s="560"/>
      <c r="K135" s="15" t="e">
        <f>SUM(K132:K134)</f>
        <v>#N/A</v>
      </c>
    </row>
    <row r="136" spans="1:20" s="5" customFormat="1" ht="17.25" customHeight="1">
      <c r="A136" s="577"/>
      <c r="B136" s="578"/>
      <c r="C136" s="578"/>
      <c r="D136" s="578"/>
      <c r="E136" s="578"/>
      <c r="F136" s="578"/>
      <c r="G136" s="578"/>
      <c r="H136" s="578"/>
      <c r="I136" s="578"/>
      <c r="J136" s="578"/>
      <c r="K136" s="579"/>
      <c r="M136" s="22"/>
      <c r="N136" s="22"/>
      <c r="O136" s="22"/>
      <c r="P136" s="22"/>
      <c r="Q136" s="22"/>
      <c r="R136" s="22"/>
      <c r="S136" s="22"/>
      <c r="T136" s="22"/>
    </row>
    <row r="137" spans="1:13" ht="17.25" customHeight="1">
      <c r="A137" s="560" t="s">
        <v>94</v>
      </c>
      <c r="B137" s="560"/>
      <c r="C137" s="560"/>
      <c r="D137" s="560"/>
      <c r="E137" s="560"/>
      <c r="F137" s="560"/>
      <c r="G137" s="560"/>
      <c r="H137" s="560"/>
      <c r="I137" s="560"/>
      <c r="J137" s="560"/>
      <c r="K137" s="11" t="e">
        <f>SUM(K35,K89,K102,K129,K135)</f>
        <v>#N/A</v>
      </c>
      <c r="M137" s="30"/>
    </row>
    <row r="138" spans="1:20" s="5" customFormat="1" ht="17.25" customHeight="1">
      <c r="A138" s="577"/>
      <c r="B138" s="578"/>
      <c r="C138" s="578"/>
      <c r="D138" s="578"/>
      <c r="E138" s="578"/>
      <c r="F138" s="578"/>
      <c r="G138" s="578"/>
      <c r="H138" s="578"/>
      <c r="I138" s="578"/>
      <c r="J138" s="578"/>
      <c r="K138" s="579"/>
      <c r="M138" s="22"/>
      <c r="N138" s="22"/>
      <c r="O138" s="22"/>
      <c r="P138" s="22"/>
      <c r="Q138" s="22"/>
      <c r="R138" s="22"/>
      <c r="S138" s="22"/>
      <c r="T138" s="22"/>
    </row>
    <row r="139" spans="1:11" ht="6.75" customHeight="1">
      <c r="A139" s="571"/>
      <c r="B139" s="571"/>
      <c r="C139" s="571"/>
      <c r="D139" s="571"/>
      <c r="E139" s="571"/>
      <c r="F139" s="571"/>
      <c r="G139" s="571"/>
      <c r="H139" s="571"/>
      <c r="I139" s="571"/>
      <c r="J139" s="571"/>
      <c r="K139" s="571"/>
    </row>
    <row r="140" spans="1:11" ht="17.25" customHeight="1">
      <c r="A140" s="560" t="s">
        <v>54</v>
      </c>
      <c r="B140" s="560"/>
      <c r="C140" s="560"/>
      <c r="D140" s="560"/>
      <c r="E140" s="560"/>
      <c r="F140" s="560"/>
      <c r="G140" s="560"/>
      <c r="H140" s="560"/>
      <c r="I140" s="560"/>
      <c r="J140" s="560"/>
      <c r="K140" s="560"/>
    </row>
    <row r="141" spans="1:11" ht="17.25" customHeight="1">
      <c r="A141" s="572"/>
      <c r="B141" s="572"/>
      <c r="C141" s="572"/>
      <c r="D141" s="572"/>
      <c r="E141" s="572"/>
      <c r="F141" s="572"/>
      <c r="G141" s="560" t="s">
        <v>25</v>
      </c>
      <c r="H141" s="560"/>
      <c r="I141" s="573" t="s">
        <v>55</v>
      </c>
      <c r="J141" s="573"/>
      <c r="K141" s="81" t="s">
        <v>20</v>
      </c>
    </row>
    <row r="142" spans="1:20" ht="17.25" customHeight="1">
      <c r="A142" s="78" t="s">
        <v>1</v>
      </c>
      <c r="B142" s="549" t="s">
        <v>56</v>
      </c>
      <c r="C142" s="549"/>
      <c r="D142" s="549"/>
      <c r="E142" s="549"/>
      <c r="F142" s="549"/>
      <c r="G142" s="552">
        <v>0.03</v>
      </c>
      <c r="H142" s="552"/>
      <c r="I142" s="558" t="e">
        <f>SUM(K35,K89,K102,K129,K135)</f>
        <v>#N/A</v>
      </c>
      <c r="J142" s="558"/>
      <c r="K142" s="80" t="e">
        <f>ROUND(I142*G142,2)</f>
        <v>#N/A</v>
      </c>
      <c r="M142" s="562" t="s">
        <v>183</v>
      </c>
      <c r="N142" s="563"/>
      <c r="O142" s="563"/>
      <c r="P142" s="563"/>
      <c r="Q142" s="563"/>
      <c r="R142" s="563"/>
      <c r="S142" s="563"/>
      <c r="T142" s="564"/>
    </row>
    <row r="143" spans="1:20" ht="17.25" customHeight="1">
      <c r="A143" s="78" t="s">
        <v>3</v>
      </c>
      <c r="B143" s="549" t="s">
        <v>57</v>
      </c>
      <c r="C143" s="549"/>
      <c r="D143" s="549"/>
      <c r="E143" s="549"/>
      <c r="F143" s="549"/>
      <c r="G143" s="552">
        <v>0.0679</v>
      </c>
      <c r="H143" s="552"/>
      <c r="I143" s="558" t="e">
        <f>I142+K142</f>
        <v>#N/A</v>
      </c>
      <c r="J143" s="558"/>
      <c r="K143" s="80" t="e">
        <f>ROUND(I143*G143,2)</f>
        <v>#N/A</v>
      </c>
      <c r="M143" s="568"/>
      <c r="N143" s="569"/>
      <c r="O143" s="569"/>
      <c r="P143" s="569"/>
      <c r="Q143" s="569"/>
      <c r="R143" s="569"/>
      <c r="S143" s="569"/>
      <c r="T143" s="570"/>
    </row>
    <row r="144" spans="1:20" ht="17.25" customHeight="1">
      <c r="A144" s="556" t="s">
        <v>5</v>
      </c>
      <c r="B144" s="556" t="s">
        <v>58</v>
      </c>
      <c r="C144" s="556"/>
      <c r="D144" s="556" t="s">
        <v>59</v>
      </c>
      <c r="E144" s="556"/>
      <c r="F144" s="78" t="s">
        <v>60</v>
      </c>
      <c r="G144" s="552">
        <v>0.0065</v>
      </c>
      <c r="H144" s="552"/>
      <c r="I144" s="558" t="e">
        <f>I143+K143</f>
        <v>#N/A</v>
      </c>
      <c r="J144" s="558"/>
      <c r="K144" s="80" t="e">
        <f>ROUND(($I$144/(1-$G$151)*G144),2)</f>
        <v>#N/A</v>
      </c>
      <c r="M144" s="562" t="s">
        <v>116</v>
      </c>
      <c r="N144" s="563"/>
      <c r="O144" s="563"/>
      <c r="P144" s="563"/>
      <c r="Q144" s="563"/>
      <c r="R144" s="563"/>
      <c r="S144" s="563"/>
      <c r="T144" s="564"/>
    </row>
    <row r="145" spans="1:20" ht="17.25" customHeight="1">
      <c r="A145" s="556"/>
      <c r="B145" s="556"/>
      <c r="C145" s="556"/>
      <c r="D145" s="556"/>
      <c r="E145" s="556"/>
      <c r="F145" s="78" t="s">
        <v>61</v>
      </c>
      <c r="G145" s="552">
        <v>0.03</v>
      </c>
      <c r="H145" s="552"/>
      <c r="I145" s="558"/>
      <c r="J145" s="558"/>
      <c r="K145" s="80" t="e">
        <f>ROUND(($I$144/(1-$G$151)*G145),2)</f>
        <v>#N/A</v>
      </c>
      <c r="M145" s="553" t="s">
        <v>117</v>
      </c>
      <c r="N145" s="554"/>
      <c r="O145" s="554"/>
      <c r="P145" s="554"/>
      <c r="Q145" s="554"/>
      <c r="R145" s="554"/>
      <c r="S145" s="554"/>
      <c r="T145" s="555"/>
    </row>
    <row r="146" spans="1:20" ht="17.25" customHeight="1">
      <c r="A146" s="556"/>
      <c r="B146" s="556"/>
      <c r="C146" s="556"/>
      <c r="D146" s="556"/>
      <c r="E146" s="556"/>
      <c r="F146" s="87" t="s">
        <v>62</v>
      </c>
      <c r="G146" s="552"/>
      <c r="H146" s="552"/>
      <c r="I146" s="558"/>
      <c r="J146" s="558"/>
      <c r="K146" s="80" t="e">
        <f>ROUND(($I$144/(1-$G$151)*G146),2)</f>
        <v>#N/A</v>
      </c>
      <c r="M146" s="553" t="s">
        <v>184</v>
      </c>
      <c r="N146" s="554"/>
      <c r="O146" s="554"/>
      <c r="P146" s="554"/>
      <c r="Q146" s="554"/>
      <c r="R146" s="554"/>
      <c r="S146" s="554"/>
      <c r="T146" s="555"/>
    </row>
    <row r="147" spans="1:11" ht="17.25" customHeight="1">
      <c r="A147" s="556"/>
      <c r="B147" s="556"/>
      <c r="C147" s="556"/>
      <c r="D147" s="556" t="s">
        <v>63</v>
      </c>
      <c r="E147" s="556"/>
      <c r="F147" s="78" t="s">
        <v>64</v>
      </c>
      <c r="G147" s="557">
        <v>0.04</v>
      </c>
      <c r="H147" s="557"/>
      <c r="I147" s="558"/>
      <c r="J147" s="558"/>
      <c r="K147" s="558" t="e">
        <f>ROUND(($I$144/(1-$G$151)*G147),2)</f>
        <v>#N/A</v>
      </c>
    </row>
    <row r="148" spans="1:11" ht="17.25" customHeight="1">
      <c r="A148" s="556"/>
      <c r="B148" s="556"/>
      <c r="C148" s="556"/>
      <c r="D148" s="556"/>
      <c r="E148" s="556"/>
      <c r="F148" s="16" t="str">
        <f>K11</f>
        <v>Araçatuba / SP</v>
      </c>
      <c r="G148" s="557"/>
      <c r="H148" s="557"/>
      <c r="I148" s="558"/>
      <c r="J148" s="558"/>
      <c r="K148" s="558"/>
    </row>
    <row r="149" spans="1:11" ht="17.25" customHeight="1">
      <c r="A149" s="556"/>
      <c r="B149" s="556"/>
      <c r="C149" s="556"/>
      <c r="D149" s="556"/>
      <c r="E149" s="556"/>
      <c r="F149" s="87" t="s">
        <v>62</v>
      </c>
      <c r="G149" s="552"/>
      <c r="H149" s="552"/>
      <c r="I149" s="558"/>
      <c r="J149" s="558"/>
      <c r="K149" s="80" t="e">
        <f>ROUND(($I$144/(1-$G$151)*G149),2)</f>
        <v>#N/A</v>
      </c>
    </row>
    <row r="150" spans="1:11" ht="17.25" customHeight="1">
      <c r="A150" s="556"/>
      <c r="B150" s="556"/>
      <c r="C150" s="556"/>
      <c r="D150" s="565" t="s">
        <v>65</v>
      </c>
      <c r="E150" s="565"/>
      <c r="F150" s="87"/>
      <c r="G150" s="552"/>
      <c r="H150" s="552"/>
      <c r="I150" s="558"/>
      <c r="J150" s="558"/>
      <c r="K150" s="80" t="e">
        <f>ROUND(($I$144/(1-$G$151)*G150),2)</f>
        <v>#N/A</v>
      </c>
    </row>
    <row r="151" spans="1:13" ht="17.25" customHeight="1">
      <c r="A151" s="556"/>
      <c r="B151" s="566" t="s">
        <v>66</v>
      </c>
      <c r="C151" s="566"/>
      <c r="D151" s="566"/>
      <c r="E151" s="566"/>
      <c r="F151" s="566"/>
      <c r="G151" s="567">
        <f>SUM(G144:H150)</f>
        <v>0.0765</v>
      </c>
      <c r="H151" s="567"/>
      <c r="I151" s="559"/>
      <c r="J151" s="559"/>
      <c r="K151" s="17"/>
      <c r="M151" s="31"/>
    </row>
    <row r="152" spans="1:11" ht="17.25" customHeight="1">
      <c r="A152" s="560" t="s">
        <v>67</v>
      </c>
      <c r="B152" s="560"/>
      <c r="C152" s="560"/>
      <c r="D152" s="560"/>
      <c r="E152" s="560"/>
      <c r="F152" s="560"/>
      <c r="G152" s="560"/>
      <c r="H152" s="560"/>
      <c r="I152" s="561">
        <f>((1+G142)*(1+G143))/(1-G151)-1</f>
        <v>0.19105251759610198</v>
      </c>
      <c r="J152" s="561"/>
      <c r="K152" s="11" t="e">
        <f>ROUND(SUM(K142:K150),2)</f>
        <v>#N/A</v>
      </c>
    </row>
    <row r="153" spans="1:11" ht="6" customHeight="1">
      <c r="A153" s="551"/>
      <c r="B153" s="551"/>
      <c r="C153" s="551"/>
      <c r="D153" s="551"/>
      <c r="E153" s="551"/>
      <c r="F153" s="551"/>
      <c r="G153" s="551"/>
      <c r="H153" s="551"/>
      <c r="I153" s="551"/>
      <c r="J153" s="551"/>
      <c r="K153" s="551"/>
    </row>
    <row r="154" spans="1:11" ht="19.5" customHeight="1">
      <c r="A154" s="550" t="s">
        <v>105</v>
      </c>
      <c r="B154" s="550"/>
      <c r="C154" s="550"/>
      <c r="D154" s="550"/>
      <c r="E154" s="550"/>
      <c r="F154" s="550"/>
      <c r="G154" s="550"/>
      <c r="H154" s="550"/>
      <c r="I154" s="550"/>
      <c r="J154" s="550"/>
      <c r="K154" s="86" t="s">
        <v>20</v>
      </c>
    </row>
    <row r="155" spans="1:11" ht="17.25" customHeight="1">
      <c r="A155" s="78" t="s">
        <v>1</v>
      </c>
      <c r="B155" s="549" t="s">
        <v>68</v>
      </c>
      <c r="C155" s="549"/>
      <c r="D155" s="549"/>
      <c r="E155" s="549"/>
      <c r="F155" s="549"/>
      <c r="G155" s="549"/>
      <c r="H155" s="549"/>
      <c r="I155" s="549"/>
      <c r="J155" s="549"/>
      <c r="K155" s="80">
        <f>K35</f>
        <v>1358.86</v>
      </c>
    </row>
    <row r="156" spans="1:11" ht="17.25" customHeight="1">
      <c r="A156" s="78" t="s">
        <v>3</v>
      </c>
      <c r="B156" s="549" t="s">
        <v>69</v>
      </c>
      <c r="C156" s="549"/>
      <c r="D156" s="549"/>
      <c r="E156" s="549"/>
      <c r="F156" s="549"/>
      <c r="G156" s="549"/>
      <c r="H156" s="549"/>
      <c r="I156" s="549"/>
      <c r="J156" s="549"/>
      <c r="K156" s="80" t="e">
        <f>K89</f>
        <v>#N/A</v>
      </c>
    </row>
    <row r="157" spans="1:11" ht="17.25" customHeight="1">
      <c r="A157" s="78" t="s">
        <v>5</v>
      </c>
      <c r="B157" s="549" t="s">
        <v>70</v>
      </c>
      <c r="C157" s="549"/>
      <c r="D157" s="549"/>
      <c r="E157" s="549"/>
      <c r="F157" s="549"/>
      <c r="G157" s="549"/>
      <c r="H157" s="549"/>
      <c r="I157" s="549"/>
      <c r="J157" s="549"/>
      <c r="K157" s="80" t="e">
        <f>K102</f>
        <v>#N/A</v>
      </c>
    </row>
    <row r="158" spans="1:11" ht="17.25" customHeight="1">
      <c r="A158" s="78" t="s">
        <v>6</v>
      </c>
      <c r="B158" s="549" t="s">
        <v>71</v>
      </c>
      <c r="C158" s="549"/>
      <c r="D158" s="549"/>
      <c r="E158" s="549"/>
      <c r="F158" s="549"/>
      <c r="G158" s="549"/>
      <c r="H158" s="549"/>
      <c r="I158" s="549"/>
      <c r="J158" s="549"/>
      <c r="K158" s="80">
        <f>K129</f>
        <v>235.07</v>
      </c>
    </row>
    <row r="159" spans="1:11" ht="17.25" customHeight="1">
      <c r="A159" s="78" t="s">
        <v>8</v>
      </c>
      <c r="B159" s="549" t="s">
        <v>72</v>
      </c>
      <c r="C159" s="549"/>
      <c r="D159" s="549"/>
      <c r="E159" s="549"/>
      <c r="F159" s="549"/>
      <c r="G159" s="549"/>
      <c r="H159" s="549"/>
      <c r="I159" s="549"/>
      <c r="J159" s="549"/>
      <c r="K159" s="80" t="e">
        <f>K135</f>
        <v>#N/A</v>
      </c>
    </row>
    <row r="160" spans="1:11" ht="17.25" customHeight="1">
      <c r="A160" s="78" t="s">
        <v>10</v>
      </c>
      <c r="B160" s="549" t="s">
        <v>73</v>
      </c>
      <c r="C160" s="549"/>
      <c r="D160" s="549"/>
      <c r="E160" s="549"/>
      <c r="F160" s="549"/>
      <c r="G160" s="549"/>
      <c r="H160" s="549"/>
      <c r="I160" s="549"/>
      <c r="J160" s="549"/>
      <c r="K160" s="80" t="e">
        <f>K152</f>
        <v>#N/A</v>
      </c>
    </row>
    <row r="161" spans="1:11" ht="18" customHeight="1">
      <c r="A161" s="550" t="s">
        <v>74</v>
      </c>
      <c r="B161" s="550"/>
      <c r="C161" s="550"/>
      <c r="D161" s="550"/>
      <c r="E161" s="550"/>
      <c r="F161" s="550"/>
      <c r="G161" s="550"/>
      <c r="H161" s="550"/>
      <c r="I161" s="550"/>
      <c r="J161" s="550"/>
      <c r="K161" s="18" t="e">
        <f>ROUND(SUM(K155:K160),2)</f>
        <v>#N/A</v>
      </c>
    </row>
    <row r="162" spans="1:11" ht="6" customHeight="1">
      <c r="A162" s="551"/>
      <c r="B162" s="551"/>
      <c r="C162" s="551"/>
      <c r="D162" s="551"/>
      <c r="E162" s="551"/>
      <c r="F162" s="551"/>
      <c r="G162" s="551"/>
      <c r="H162" s="551"/>
      <c r="I162" s="551"/>
      <c r="J162" s="551"/>
      <c r="K162" s="551"/>
    </row>
    <row r="164" ht="15">
      <c r="I164" s="6"/>
    </row>
  </sheetData>
  <sheetProtection selectLockedCells="1" selectUnlockedCells="1"/>
  <mergeCells count="290">
    <mergeCell ref="A5:C5"/>
    <mergeCell ref="D5:K5"/>
    <mergeCell ref="A6:C6"/>
    <mergeCell ref="D6:K6"/>
    <mergeCell ref="A7:K7"/>
    <mergeCell ref="A8:K8"/>
    <mergeCell ref="A1:K1"/>
    <mergeCell ref="A2:K2"/>
    <mergeCell ref="A3:C3"/>
    <mergeCell ref="D3:K3"/>
    <mergeCell ref="A4:C4"/>
    <mergeCell ref="D4:K4"/>
    <mergeCell ref="B15:J15"/>
    <mergeCell ref="B16:J16"/>
    <mergeCell ref="B17:J17"/>
    <mergeCell ref="B18:J18"/>
    <mergeCell ref="B19:J19"/>
    <mergeCell ref="B20:J20"/>
    <mergeCell ref="A9:K9"/>
    <mergeCell ref="B10:J10"/>
    <mergeCell ref="B11:J11"/>
    <mergeCell ref="B12:J12"/>
    <mergeCell ref="B13:J13"/>
    <mergeCell ref="B14:J14"/>
    <mergeCell ref="B27:G27"/>
    <mergeCell ref="I27:J27"/>
    <mergeCell ref="B28:G28"/>
    <mergeCell ref="I28:J28"/>
    <mergeCell ref="B29:G29"/>
    <mergeCell ref="I29:J29"/>
    <mergeCell ref="B21:J21"/>
    <mergeCell ref="B22:J22"/>
    <mergeCell ref="A23:K23"/>
    <mergeCell ref="A24:K24"/>
    <mergeCell ref="A25:J25"/>
    <mergeCell ref="B26:G26"/>
    <mergeCell ref="I26:J26"/>
    <mergeCell ref="K31:K33"/>
    <mergeCell ref="M31:T33"/>
    <mergeCell ref="I33:J33"/>
    <mergeCell ref="B34:J34"/>
    <mergeCell ref="A35:J35"/>
    <mergeCell ref="A36:K36"/>
    <mergeCell ref="B30:G30"/>
    <mergeCell ref="I30:J30"/>
    <mergeCell ref="A31:A33"/>
    <mergeCell ref="B31:F33"/>
    <mergeCell ref="G31:G32"/>
    <mergeCell ref="H31:H32"/>
    <mergeCell ref="I31:J32"/>
    <mergeCell ref="M40:T42"/>
    <mergeCell ref="B41:H41"/>
    <mergeCell ref="I41:J41"/>
    <mergeCell ref="B42:H42"/>
    <mergeCell ref="I42:J42"/>
    <mergeCell ref="A43:H43"/>
    <mergeCell ref="I43:J43"/>
    <mergeCell ref="A37:K37"/>
    <mergeCell ref="A38:K38"/>
    <mergeCell ref="A39:H39"/>
    <mergeCell ref="I39:J39"/>
    <mergeCell ref="B40:H40"/>
    <mergeCell ref="I40:J40"/>
    <mergeCell ref="B50:H50"/>
    <mergeCell ref="I50:J50"/>
    <mergeCell ref="B51:H51"/>
    <mergeCell ref="I51:J51"/>
    <mergeCell ref="A52:A53"/>
    <mergeCell ref="B52:F53"/>
    <mergeCell ref="I52:J53"/>
    <mergeCell ref="A44:K44"/>
    <mergeCell ref="A45:K45"/>
    <mergeCell ref="A46:J46"/>
    <mergeCell ref="A47:J47"/>
    <mergeCell ref="A48:J48"/>
    <mergeCell ref="A49:H49"/>
    <mergeCell ref="I49:J49"/>
    <mergeCell ref="M61:T62"/>
    <mergeCell ref="A62:J62"/>
    <mergeCell ref="B56:H56"/>
    <mergeCell ref="I56:J56"/>
    <mergeCell ref="B57:H57"/>
    <mergeCell ref="I57:J57"/>
    <mergeCell ref="B58:H58"/>
    <mergeCell ref="I58:J58"/>
    <mergeCell ref="A59:H59"/>
    <mergeCell ref="I59:J59"/>
    <mergeCell ref="B64:D64"/>
    <mergeCell ref="G64:J64"/>
    <mergeCell ref="B65:D65"/>
    <mergeCell ref="G65:J65"/>
    <mergeCell ref="K52:K53"/>
    <mergeCell ref="M52:T53"/>
    <mergeCell ref="B54:H54"/>
    <mergeCell ref="I54:J54"/>
    <mergeCell ref="B55:H55"/>
    <mergeCell ref="I55:J55"/>
    <mergeCell ref="A60:K60"/>
    <mergeCell ref="A61:K61"/>
    <mergeCell ref="A66:A68"/>
    <mergeCell ref="B66:F66"/>
    <mergeCell ref="G66:J66"/>
    <mergeCell ref="K66:K68"/>
    <mergeCell ref="A63:A65"/>
    <mergeCell ref="B63:F63"/>
    <mergeCell ref="G63:J63"/>
    <mergeCell ref="K63:K65"/>
    <mergeCell ref="M66:T68"/>
    <mergeCell ref="B67:E67"/>
    <mergeCell ref="G67:J67"/>
    <mergeCell ref="B68:E68"/>
    <mergeCell ref="G68:J68"/>
    <mergeCell ref="A72:A74"/>
    <mergeCell ref="B72:F72"/>
    <mergeCell ref="G72:J72"/>
    <mergeCell ref="K72:K74"/>
    <mergeCell ref="B73:F73"/>
    <mergeCell ref="G73:J73"/>
    <mergeCell ref="B74:F74"/>
    <mergeCell ref="G74:J74"/>
    <mergeCell ref="A69:A71"/>
    <mergeCell ref="B69:F69"/>
    <mergeCell ref="G69:J69"/>
    <mergeCell ref="B70:F70"/>
    <mergeCell ref="G70:J70"/>
    <mergeCell ref="A81:A83"/>
    <mergeCell ref="B81:F81"/>
    <mergeCell ref="G81:J81"/>
    <mergeCell ref="K81:K83"/>
    <mergeCell ref="B82:F82"/>
    <mergeCell ref="K70:K71"/>
    <mergeCell ref="B71:F71"/>
    <mergeCell ref="G71:J71"/>
    <mergeCell ref="A75:A77"/>
    <mergeCell ref="B75:F75"/>
    <mergeCell ref="A78:A80"/>
    <mergeCell ref="B78:F78"/>
    <mergeCell ref="G78:J78"/>
    <mergeCell ref="M75:T77"/>
    <mergeCell ref="B76:E76"/>
    <mergeCell ref="G76:J76"/>
    <mergeCell ref="B77:E77"/>
    <mergeCell ref="G77:J77"/>
    <mergeCell ref="G75:J75"/>
    <mergeCell ref="K75:K77"/>
    <mergeCell ref="K78:K80"/>
    <mergeCell ref="B79:E79"/>
    <mergeCell ref="G79:J79"/>
    <mergeCell ref="B80:E80"/>
    <mergeCell ref="G80:J80"/>
    <mergeCell ref="B87:J87"/>
    <mergeCell ref="G82:J82"/>
    <mergeCell ref="B83:F83"/>
    <mergeCell ref="G83:J83"/>
    <mergeCell ref="A88:J88"/>
    <mergeCell ref="A89:J89"/>
    <mergeCell ref="A90:K90"/>
    <mergeCell ref="A91:K91"/>
    <mergeCell ref="M91:T92"/>
    <mergeCell ref="A92:J92"/>
    <mergeCell ref="A84:A86"/>
    <mergeCell ref="B84:F84"/>
    <mergeCell ref="G84:J84"/>
    <mergeCell ref="K84:K86"/>
    <mergeCell ref="B85:F85"/>
    <mergeCell ref="G85:J85"/>
    <mergeCell ref="B86:F86"/>
    <mergeCell ref="G86:J86"/>
    <mergeCell ref="B98:G98"/>
    <mergeCell ref="H98:J98"/>
    <mergeCell ref="B99:G99"/>
    <mergeCell ref="H99:J99"/>
    <mergeCell ref="B100:G100"/>
    <mergeCell ref="H100:J100"/>
    <mergeCell ref="A93:J93"/>
    <mergeCell ref="M93:T94"/>
    <mergeCell ref="A94:J94"/>
    <mergeCell ref="A95:G95"/>
    <mergeCell ref="H95:J95"/>
    <mergeCell ref="M95:T100"/>
    <mergeCell ref="B96:G96"/>
    <mergeCell ref="H96:J96"/>
    <mergeCell ref="B97:G97"/>
    <mergeCell ref="H97:J97"/>
    <mergeCell ref="A107:J107"/>
    <mergeCell ref="A108:J108"/>
    <mergeCell ref="A109:G109"/>
    <mergeCell ref="H109:J109"/>
    <mergeCell ref="B110:G110"/>
    <mergeCell ref="H110:J110"/>
    <mergeCell ref="B101:G101"/>
    <mergeCell ref="H101:J101"/>
    <mergeCell ref="M101:T102"/>
    <mergeCell ref="A102:G102"/>
    <mergeCell ref="H102:J102"/>
    <mergeCell ref="A103:K103"/>
    <mergeCell ref="M103:T107"/>
    <mergeCell ref="A104:K104"/>
    <mergeCell ref="A105:K105"/>
    <mergeCell ref="A106:J106"/>
    <mergeCell ref="A113:A114"/>
    <mergeCell ref="B113:J113"/>
    <mergeCell ref="K113:K114"/>
    <mergeCell ref="M113:T114"/>
    <mergeCell ref="B114:G114"/>
    <mergeCell ref="H114:J114"/>
    <mergeCell ref="A111:A112"/>
    <mergeCell ref="B111:J111"/>
    <mergeCell ref="K111:K112"/>
    <mergeCell ref="M111:T112"/>
    <mergeCell ref="F112:G112"/>
    <mergeCell ref="H112:J112"/>
    <mergeCell ref="H118:J118"/>
    <mergeCell ref="B119:J119"/>
    <mergeCell ref="M119:T120"/>
    <mergeCell ref="B120:G120"/>
    <mergeCell ref="H120:J120"/>
    <mergeCell ref="B121:G121"/>
    <mergeCell ref="H121:J121"/>
    <mergeCell ref="A115:A116"/>
    <mergeCell ref="B115:J115"/>
    <mergeCell ref="K115:K116"/>
    <mergeCell ref="M115:T118"/>
    <mergeCell ref="B116:G116"/>
    <mergeCell ref="H116:J116"/>
    <mergeCell ref="A117:A118"/>
    <mergeCell ref="B117:J117"/>
    <mergeCell ref="K117:K118"/>
    <mergeCell ref="B118:G118"/>
    <mergeCell ref="A127:J127"/>
    <mergeCell ref="A128:K128"/>
    <mergeCell ref="A129:J129"/>
    <mergeCell ref="A130:K130"/>
    <mergeCell ref="A131:K131"/>
    <mergeCell ref="B132:J132"/>
    <mergeCell ref="A122:G122"/>
    <mergeCell ref="H122:J122"/>
    <mergeCell ref="A123:K123"/>
    <mergeCell ref="A124:K124"/>
    <mergeCell ref="A125:J125"/>
    <mergeCell ref="B126:J126"/>
    <mergeCell ref="A139:K139"/>
    <mergeCell ref="A140:K140"/>
    <mergeCell ref="A141:F141"/>
    <mergeCell ref="G141:H141"/>
    <mergeCell ref="I141:J141"/>
    <mergeCell ref="B142:F142"/>
    <mergeCell ref="G142:H142"/>
    <mergeCell ref="I142:J142"/>
    <mergeCell ref="F133:I133"/>
    <mergeCell ref="B134:J134"/>
    <mergeCell ref="A135:J135"/>
    <mergeCell ref="A136:K136"/>
    <mergeCell ref="A137:J137"/>
    <mergeCell ref="A138:K138"/>
    <mergeCell ref="M142:T143"/>
    <mergeCell ref="B143:F143"/>
    <mergeCell ref="G143:H143"/>
    <mergeCell ref="I143:J143"/>
    <mergeCell ref="A144:A151"/>
    <mergeCell ref="B144:C150"/>
    <mergeCell ref="D144:E146"/>
    <mergeCell ref="G144:H144"/>
    <mergeCell ref="I144:J150"/>
    <mergeCell ref="M144:T144"/>
    <mergeCell ref="D150:E150"/>
    <mergeCell ref="G150:H150"/>
    <mergeCell ref="B151:F151"/>
    <mergeCell ref="G151:H151"/>
    <mergeCell ref="I151:J151"/>
    <mergeCell ref="A152:H152"/>
    <mergeCell ref="I152:J152"/>
    <mergeCell ref="G145:H145"/>
    <mergeCell ref="M145:T145"/>
    <mergeCell ref="G146:H146"/>
    <mergeCell ref="M146:T146"/>
    <mergeCell ref="D147:E149"/>
    <mergeCell ref="G147:H148"/>
    <mergeCell ref="K147:K148"/>
    <mergeCell ref="G149:H149"/>
    <mergeCell ref="B159:J159"/>
    <mergeCell ref="B160:J160"/>
    <mergeCell ref="A161:J161"/>
    <mergeCell ref="A162:K162"/>
    <mergeCell ref="A153:K153"/>
    <mergeCell ref="A154:J154"/>
    <mergeCell ref="B155:J155"/>
    <mergeCell ref="B156:J156"/>
    <mergeCell ref="B157:J157"/>
    <mergeCell ref="B158:J158"/>
  </mergeCells>
  <printOptions horizontalCentered="1" verticalCentered="1"/>
  <pageMargins left="0.7086614173228347" right="0.7086614173228347" top="0.7480314960629921" bottom="0.7480314960629921" header="0.31496062992125984" footer="0.31496062992125984"/>
  <pageSetup fitToHeight="2" fitToWidth="1" horizontalDpi="600" verticalDpi="600" orientation="portrait" paperSize="9" scale="39" r:id="rId3"/>
  <rowBreaks count="1" manualBreakCount="1">
    <brk id="95"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T172"/>
  <sheetViews>
    <sheetView showGridLines="0" showZeros="0" view="pageBreakPreview" zoomScaleSheetLayoutView="100" zoomScalePageLayoutView="60" workbookViewId="0" topLeftCell="A175">
      <selection activeCell="B19" sqref="B19:J19"/>
    </sheetView>
  </sheetViews>
  <sheetFormatPr defaultColWidth="8.7109375" defaultRowHeight="15"/>
  <cols>
    <col min="1" max="1" width="7.140625" style="115" customWidth="1"/>
    <col min="2" max="2" width="6.7109375" style="115" customWidth="1"/>
    <col min="3" max="3" width="6.28125" style="115" customWidth="1"/>
    <col min="4" max="4" width="8.7109375" style="115" customWidth="1"/>
    <col min="5" max="5" width="11.28125" style="115" customWidth="1"/>
    <col min="6" max="6" width="19.140625" style="115" customWidth="1"/>
    <col min="7" max="8" width="10.7109375" style="115" customWidth="1"/>
    <col min="9" max="9" width="8.7109375" style="115" customWidth="1"/>
    <col min="10" max="10" width="7.00390625" style="115" customWidth="1"/>
    <col min="11" max="11" width="37.140625" style="124" customWidth="1"/>
    <col min="12" max="12" width="3.421875" style="115" customWidth="1"/>
    <col min="13" max="13" width="11.140625" style="116" bestFit="1" customWidth="1"/>
    <col min="14" max="19" width="8.7109375" style="116" customWidth="1"/>
    <col min="20" max="20" width="19.57421875" style="116" customWidth="1"/>
    <col min="21" max="16384" width="8.7109375" style="115" customWidth="1"/>
  </cols>
  <sheetData>
    <row r="1" spans="1:12" s="116" customFormat="1" ht="21.75" customHeight="1">
      <c r="A1" s="524" t="s">
        <v>686</v>
      </c>
      <c r="B1" s="524"/>
      <c r="C1" s="524"/>
      <c r="D1" s="524"/>
      <c r="E1" s="524"/>
      <c r="F1" s="524"/>
      <c r="G1" s="524"/>
      <c r="H1" s="524"/>
      <c r="I1" s="524"/>
      <c r="J1" s="524"/>
      <c r="K1" s="524"/>
      <c r="L1" s="115"/>
    </row>
    <row r="2" spans="1:12" s="116" customFormat="1" ht="6.75" customHeight="1">
      <c r="A2" s="476"/>
      <c r="B2" s="476"/>
      <c r="C2" s="476"/>
      <c r="D2" s="476"/>
      <c r="E2" s="476"/>
      <c r="F2" s="476"/>
      <c r="G2" s="476"/>
      <c r="H2" s="476"/>
      <c r="I2" s="476"/>
      <c r="J2" s="476"/>
      <c r="K2" s="476"/>
      <c r="L2" s="115"/>
    </row>
    <row r="3" spans="1:12" s="116" customFormat="1" ht="17.25" customHeight="1">
      <c r="A3" s="521" t="s">
        <v>75</v>
      </c>
      <c r="B3" s="521"/>
      <c r="C3" s="521"/>
      <c r="D3" s="523" t="s">
        <v>269</v>
      </c>
      <c r="E3" s="523"/>
      <c r="F3" s="523"/>
      <c r="G3" s="523"/>
      <c r="H3" s="523"/>
      <c r="I3" s="523"/>
      <c r="J3" s="523"/>
      <c r="K3" s="523"/>
      <c r="L3" s="115"/>
    </row>
    <row r="4" spans="1:12" s="116" customFormat="1" ht="17.25" customHeight="1">
      <c r="A4" s="521" t="s">
        <v>95</v>
      </c>
      <c r="B4" s="521"/>
      <c r="C4" s="521"/>
      <c r="D4" s="522">
        <f>'Item 1.1'!D4:K4</f>
        <v>0</v>
      </c>
      <c r="E4" s="522"/>
      <c r="F4" s="522"/>
      <c r="G4" s="522"/>
      <c r="H4" s="522"/>
      <c r="I4" s="522"/>
      <c r="J4" s="522"/>
      <c r="K4" s="522"/>
      <c r="L4" s="115"/>
    </row>
    <row r="5" spans="1:12" s="116" customFormat="1" ht="17.25" customHeight="1">
      <c r="A5" s="521" t="s">
        <v>96</v>
      </c>
      <c r="B5" s="521"/>
      <c r="C5" s="521"/>
      <c r="D5" s="522">
        <f>'Item 1.1'!D5:K5</f>
        <v>0</v>
      </c>
      <c r="E5" s="522"/>
      <c r="F5" s="522"/>
      <c r="G5" s="522"/>
      <c r="H5" s="522"/>
      <c r="I5" s="522"/>
      <c r="J5" s="522"/>
      <c r="K5" s="522"/>
      <c r="L5" s="115"/>
    </row>
    <row r="6" spans="1:12" s="116" customFormat="1" ht="17.25" customHeight="1">
      <c r="A6" s="521" t="s">
        <v>159</v>
      </c>
      <c r="B6" s="521"/>
      <c r="C6" s="521"/>
      <c r="D6" s="523" t="s">
        <v>268</v>
      </c>
      <c r="E6" s="523"/>
      <c r="F6" s="523"/>
      <c r="G6" s="523"/>
      <c r="H6" s="523"/>
      <c r="I6" s="523"/>
      <c r="J6" s="523"/>
      <c r="K6" s="523"/>
      <c r="L6" s="115"/>
    </row>
    <row r="7" spans="1:12" s="116" customFormat="1" ht="6.75" customHeight="1">
      <c r="A7" s="525"/>
      <c r="B7" s="525"/>
      <c r="C7" s="525"/>
      <c r="D7" s="525"/>
      <c r="E7" s="525"/>
      <c r="F7" s="525"/>
      <c r="G7" s="525"/>
      <c r="H7" s="525"/>
      <c r="I7" s="525"/>
      <c r="J7" s="525"/>
      <c r="K7" s="525"/>
      <c r="L7" s="115"/>
    </row>
    <row r="8" spans="1:12" s="116" customFormat="1" ht="6.75" customHeight="1">
      <c r="A8" s="457"/>
      <c r="B8" s="457"/>
      <c r="C8" s="457"/>
      <c r="D8" s="457"/>
      <c r="E8" s="457"/>
      <c r="F8" s="457"/>
      <c r="G8" s="457"/>
      <c r="H8" s="457"/>
      <c r="I8" s="457"/>
      <c r="J8" s="457"/>
      <c r="K8" s="457"/>
      <c r="L8" s="115"/>
    </row>
    <row r="9" spans="1:12" s="116" customFormat="1" ht="17.25" customHeight="1">
      <c r="A9" s="458" t="s">
        <v>0</v>
      </c>
      <c r="B9" s="458"/>
      <c r="C9" s="458"/>
      <c r="D9" s="458"/>
      <c r="E9" s="458"/>
      <c r="F9" s="458"/>
      <c r="G9" s="458"/>
      <c r="H9" s="458"/>
      <c r="I9" s="458"/>
      <c r="J9" s="458"/>
      <c r="K9" s="458"/>
      <c r="L9" s="115"/>
    </row>
    <row r="10" spans="1:12" s="116" customFormat="1" ht="17.25" customHeight="1">
      <c r="A10" s="401" t="s">
        <v>1</v>
      </c>
      <c r="B10" s="465" t="s">
        <v>2</v>
      </c>
      <c r="C10" s="465"/>
      <c r="D10" s="465"/>
      <c r="E10" s="465"/>
      <c r="F10" s="465"/>
      <c r="G10" s="465"/>
      <c r="H10" s="465"/>
      <c r="I10" s="465"/>
      <c r="J10" s="465"/>
      <c r="K10" s="413">
        <f>'Item 1.1'!K10</f>
        <v>0</v>
      </c>
      <c r="L10" s="115"/>
    </row>
    <row r="11" spans="1:12" s="116" customFormat="1" ht="16.5" customHeight="1">
      <c r="A11" s="401" t="s">
        <v>3</v>
      </c>
      <c r="B11" s="465" t="s">
        <v>4</v>
      </c>
      <c r="C11" s="465"/>
      <c r="D11" s="465"/>
      <c r="E11" s="465"/>
      <c r="F11" s="465"/>
      <c r="G11" s="465"/>
      <c r="H11" s="465"/>
      <c r="I11" s="465"/>
      <c r="J11" s="465"/>
      <c r="K11" s="400" t="s">
        <v>270</v>
      </c>
      <c r="L11" s="115"/>
    </row>
    <row r="12" spans="1:12" s="116" customFormat="1" ht="15">
      <c r="A12" s="401" t="s">
        <v>5</v>
      </c>
      <c r="B12" s="465" t="s">
        <v>120</v>
      </c>
      <c r="C12" s="465"/>
      <c r="D12" s="465"/>
      <c r="E12" s="465"/>
      <c r="F12" s="465"/>
      <c r="G12" s="465"/>
      <c r="H12" s="465"/>
      <c r="I12" s="465"/>
      <c r="J12" s="465"/>
      <c r="K12" s="220" t="s">
        <v>271</v>
      </c>
      <c r="L12" s="115"/>
    </row>
    <row r="13" spans="1:12" s="116" customFormat="1" ht="16.5" customHeight="1">
      <c r="A13" s="401" t="s">
        <v>6</v>
      </c>
      <c r="B13" s="503" t="s">
        <v>77</v>
      </c>
      <c r="C13" s="503"/>
      <c r="D13" s="503"/>
      <c r="E13" s="503"/>
      <c r="F13" s="503"/>
      <c r="G13" s="503"/>
      <c r="H13" s="503"/>
      <c r="I13" s="503"/>
      <c r="J13" s="503"/>
      <c r="K13" s="400" t="s">
        <v>262</v>
      </c>
      <c r="L13" s="115"/>
    </row>
    <row r="14" spans="1:12" s="116" customFormat="1" ht="16.5" customHeight="1">
      <c r="A14" s="401" t="s">
        <v>8</v>
      </c>
      <c r="B14" s="503" t="s">
        <v>127</v>
      </c>
      <c r="C14" s="503"/>
      <c r="D14" s="503"/>
      <c r="E14" s="503"/>
      <c r="F14" s="503"/>
      <c r="G14" s="503"/>
      <c r="H14" s="503"/>
      <c r="I14" s="503"/>
      <c r="J14" s="503"/>
      <c r="K14" s="221" t="s">
        <v>223</v>
      </c>
      <c r="L14" s="115"/>
    </row>
    <row r="15" spans="1:12" s="116" customFormat="1" ht="16.5" customHeight="1">
      <c r="A15" s="401" t="s">
        <v>10</v>
      </c>
      <c r="B15" s="503" t="s">
        <v>7</v>
      </c>
      <c r="C15" s="503"/>
      <c r="D15" s="503"/>
      <c r="E15" s="503"/>
      <c r="F15" s="503"/>
      <c r="G15" s="503"/>
      <c r="H15" s="503"/>
      <c r="I15" s="503"/>
      <c r="J15" s="503"/>
      <c r="K15" s="400" t="s">
        <v>585</v>
      </c>
      <c r="L15" s="115"/>
    </row>
    <row r="16" spans="1:12" s="116" customFormat="1" ht="29.25" customHeight="1">
      <c r="A16" s="401" t="s">
        <v>11</v>
      </c>
      <c r="B16" s="503" t="s">
        <v>9</v>
      </c>
      <c r="C16" s="503"/>
      <c r="D16" s="503"/>
      <c r="E16" s="503"/>
      <c r="F16" s="503"/>
      <c r="G16" s="503"/>
      <c r="H16" s="503"/>
      <c r="I16" s="503"/>
      <c r="J16" s="503"/>
      <c r="K16" s="232" t="s">
        <v>584</v>
      </c>
      <c r="L16" s="117"/>
    </row>
    <row r="17" spans="1:12" ht="15.75" customHeight="1">
      <c r="A17" s="401" t="s">
        <v>12</v>
      </c>
      <c r="B17" s="503" t="s">
        <v>143</v>
      </c>
      <c r="C17" s="503"/>
      <c r="D17" s="503"/>
      <c r="E17" s="503"/>
      <c r="F17" s="503"/>
      <c r="G17" s="503"/>
      <c r="H17" s="503"/>
      <c r="I17" s="503"/>
      <c r="J17" s="503"/>
      <c r="K17" s="400">
        <v>1302</v>
      </c>
      <c r="L17" s="117"/>
    </row>
    <row r="18" spans="1:11" ht="16.5" customHeight="1">
      <c r="A18" s="401" t="s">
        <v>14</v>
      </c>
      <c r="B18" s="503" t="s">
        <v>162</v>
      </c>
      <c r="C18" s="503"/>
      <c r="D18" s="503"/>
      <c r="E18" s="503"/>
      <c r="F18" s="503"/>
      <c r="G18" s="503"/>
      <c r="H18" s="503"/>
      <c r="I18" s="503"/>
      <c r="J18" s="503"/>
      <c r="K18" s="402">
        <v>2283.36</v>
      </c>
    </row>
    <row r="19" spans="1:11" ht="25.5">
      <c r="A19" s="401" t="s">
        <v>16</v>
      </c>
      <c r="B19" s="465" t="s">
        <v>84</v>
      </c>
      <c r="C19" s="465"/>
      <c r="D19" s="465"/>
      <c r="E19" s="465"/>
      <c r="F19" s="465"/>
      <c r="G19" s="465"/>
      <c r="H19" s="465"/>
      <c r="I19" s="465"/>
      <c r="J19" s="465"/>
      <c r="K19" s="240" t="s">
        <v>1151</v>
      </c>
    </row>
    <row r="20" spans="1:11" ht="16.5" customHeight="1">
      <c r="A20" s="401" t="s">
        <v>76</v>
      </c>
      <c r="B20" s="465" t="s">
        <v>13</v>
      </c>
      <c r="C20" s="465"/>
      <c r="D20" s="465"/>
      <c r="E20" s="465"/>
      <c r="F20" s="465"/>
      <c r="G20" s="465"/>
      <c r="H20" s="465"/>
      <c r="I20" s="465"/>
      <c r="J20" s="465"/>
      <c r="K20" s="241" t="s">
        <v>1150</v>
      </c>
    </row>
    <row r="21" spans="1:11" ht="17.25" customHeight="1">
      <c r="A21" s="401" t="s">
        <v>78</v>
      </c>
      <c r="B21" s="465" t="s">
        <v>15</v>
      </c>
      <c r="C21" s="465"/>
      <c r="D21" s="465"/>
      <c r="E21" s="465"/>
      <c r="F21" s="465"/>
      <c r="G21" s="465"/>
      <c r="H21" s="465"/>
      <c r="I21" s="465"/>
      <c r="J21" s="465"/>
      <c r="K21" s="242">
        <v>44682</v>
      </c>
    </row>
    <row r="22" spans="1:11" ht="17.25" customHeight="1">
      <c r="A22" s="401" t="s">
        <v>142</v>
      </c>
      <c r="B22" s="465" t="s">
        <v>17</v>
      </c>
      <c r="C22" s="465"/>
      <c r="D22" s="465"/>
      <c r="E22" s="465"/>
      <c r="F22" s="465"/>
      <c r="G22" s="465"/>
      <c r="H22" s="465"/>
      <c r="I22" s="465"/>
      <c r="J22" s="465"/>
      <c r="K22" s="222">
        <v>12</v>
      </c>
    </row>
    <row r="23" spans="1:11" ht="6.75" customHeight="1">
      <c r="A23" s="457"/>
      <c r="B23" s="457"/>
      <c r="C23" s="457"/>
      <c r="D23" s="457"/>
      <c r="E23" s="457"/>
      <c r="F23" s="457"/>
      <c r="G23" s="457"/>
      <c r="H23" s="457"/>
      <c r="I23" s="457"/>
      <c r="J23" s="457"/>
      <c r="K23" s="457"/>
    </row>
    <row r="24" spans="1:11" ht="17.25" customHeight="1">
      <c r="A24" s="458" t="s">
        <v>18</v>
      </c>
      <c r="B24" s="458"/>
      <c r="C24" s="458"/>
      <c r="D24" s="458"/>
      <c r="E24" s="458"/>
      <c r="F24" s="458"/>
      <c r="G24" s="458"/>
      <c r="H24" s="458"/>
      <c r="I24" s="458"/>
      <c r="J24" s="458"/>
      <c r="K24" s="458"/>
    </row>
    <row r="25" spans="1:11" ht="17.25" customHeight="1">
      <c r="A25" s="458"/>
      <c r="B25" s="458"/>
      <c r="C25" s="458"/>
      <c r="D25" s="458"/>
      <c r="E25" s="458"/>
      <c r="F25" s="458"/>
      <c r="G25" s="458"/>
      <c r="H25" s="458"/>
      <c r="I25" s="458"/>
      <c r="J25" s="458"/>
      <c r="K25" s="398" t="s">
        <v>20</v>
      </c>
    </row>
    <row r="26" spans="1:20" ht="17.25" customHeight="1">
      <c r="A26" s="401" t="s">
        <v>1</v>
      </c>
      <c r="B26" s="503" t="s">
        <v>21</v>
      </c>
      <c r="C26" s="503"/>
      <c r="D26" s="503"/>
      <c r="E26" s="503"/>
      <c r="F26" s="503"/>
      <c r="G26" s="503"/>
      <c r="H26" s="223">
        <v>220</v>
      </c>
      <c r="I26" s="451" t="s">
        <v>126</v>
      </c>
      <c r="J26" s="451"/>
      <c r="K26" s="402">
        <f>K18/220*H26</f>
        <v>2283.36</v>
      </c>
      <c r="M26" s="548"/>
      <c r="N26" s="548"/>
      <c r="O26" s="548"/>
      <c r="P26" s="548"/>
      <c r="Q26" s="548"/>
      <c r="R26" s="548"/>
      <c r="S26" s="548"/>
      <c r="T26" s="548"/>
    </row>
    <row r="27" spans="1:20" ht="17.25" customHeight="1">
      <c r="A27" s="401" t="s">
        <v>3</v>
      </c>
      <c r="B27" s="503" t="s">
        <v>98</v>
      </c>
      <c r="C27" s="503"/>
      <c r="D27" s="503"/>
      <c r="E27" s="503"/>
      <c r="F27" s="503"/>
      <c r="G27" s="503"/>
      <c r="H27" s="404"/>
      <c r="I27" s="451" t="s">
        <v>100</v>
      </c>
      <c r="J27" s="451"/>
      <c r="K27" s="400">
        <f>H27*K18</f>
        <v>0</v>
      </c>
      <c r="M27" s="186" t="s">
        <v>153</v>
      </c>
      <c r="N27" s="187"/>
      <c r="O27" s="187"/>
      <c r="P27" s="187"/>
      <c r="Q27" s="187"/>
      <c r="R27" s="187"/>
      <c r="S27" s="187"/>
      <c r="T27" s="188"/>
    </row>
    <row r="28" spans="1:20" ht="17.25" customHeight="1">
      <c r="A28" s="401" t="s">
        <v>5</v>
      </c>
      <c r="B28" s="503" t="s">
        <v>99</v>
      </c>
      <c r="C28" s="503"/>
      <c r="D28" s="503"/>
      <c r="E28" s="503"/>
      <c r="F28" s="503"/>
      <c r="G28" s="503"/>
      <c r="H28" s="404"/>
      <c r="I28" s="451" t="s">
        <v>100</v>
      </c>
      <c r="J28" s="451"/>
      <c r="K28" s="400">
        <f>H28*K17</f>
        <v>0</v>
      </c>
      <c r="M28" s="189" t="s">
        <v>153</v>
      </c>
      <c r="N28" s="190"/>
      <c r="O28" s="190"/>
      <c r="P28" s="190"/>
      <c r="Q28" s="190"/>
      <c r="R28" s="190"/>
      <c r="S28" s="190"/>
      <c r="T28" s="191"/>
    </row>
    <row r="29" spans="1:11" ht="17.25" customHeight="1">
      <c r="A29" s="401" t="s">
        <v>6</v>
      </c>
      <c r="B29" s="503" t="s">
        <v>101</v>
      </c>
      <c r="C29" s="503"/>
      <c r="D29" s="503"/>
      <c r="E29" s="503"/>
      <c r="F29" s="503"/>
      <c r="G29" s="503"/>
      <c r="H29" s="404"/>
      <c r="I29" s="451" t="s">
        <v>100</v>
      </c>
      <c r="J29" s="451"/>
      <c r="K29" s="400">
        <f>H29*K26</f>
        <v>0</v>
      </c>
    </row>
    <row r="30" spans="1:11" ht="17.25" customHeight="1">
      <c r="A30" s="401" t="s">
        <v>102</v>
      </c>
      <c r="B30" s="503" t="s">
        <v>103</v>
      </c>
      <c r="C30" s="503"/>
      <c r="D30" s="503"/>
      <c r="E30" s="503"/>
      <c r="F30" s="503"/>
      <c r="G30" s="503"/>
      <c r="H30" s="404"/>
      <c r="I30" s="451" t="s">
        <v>100</v>
      </c>
      <c r="J30" s="451"/>
      <c r="K30" s="400">
        <f>H30*K26</f>
        <v>0</v>
      </c>
    </row>
    <row r="31" spans="1:20" ht="17.25" customHeight="1">
      <c r="A31" s="451" t="s">
        <v>10</v>
      </c>
      <c r="B31" s="503" t="s">
        <v>140</v>
      </c>
      <c r="C31" s="503"/>
      <c r="D31" s="503"/>
      <c r="E31" s="503"/>
      <c r="F31" s="503"/>
      <c r="G31" s="519" t="s">
        <v>125</v>
      </c>
      <c r="H31" s="547" t="s">
        <v>123</v>
      </c>
      <c r="I31" s="519" t="s">
        <v>124</v>
      </c>
      <c r="J31" s="519"/>
      <c r="K31" s="546">
        <f>ROUND(I33*H33,2)</f>
        <v>0</v>
      </c>
      <c r="M31" s="538" t="s">
        <v>154</v>
      </c>
      <c r="N31" s="539"/>
      <c r="O31" s="539"/>
      <c r="P31" s="539"/>
      <c r="Q31" s="539"/>
      <c r="R31" s="539"/>
      <c r="S31" s="539"/>
      <c r="T31" s="540"/>
    </row>
    <row r="32" spans="1:20" ht="22.5" customHeight="1">
      <c r="A32" s="451"/>
      <c r="B32" s="503"/>
      <c r="C32" s="503"/>
      <c r="D32" s="503"/>
      <c r="E32" s="503"/>
      <c r="F32" s="503"/>
      <c r="G32" s="519"/>
      <c r="H32" s="547"/>
      <c r="I32" s="519"/>
      <c r="J32" s="519"/>
      <c r="K32" s="546"/>
      <c r="M32" s="541"/>
      <c r="N32" s="479"/>
      <c r="O32" s="479"/>
      <c r="P32" s="479"/>
      <c r="Q32" s="479"/>
      <c r="R32" s="479"/>
      <c r="S32" s="479"/>
      <c r="T32" s="542"/>
    </row>
    <row r="33" spans="1:20" ht="17.25" customHeight="1">
      <c r="A33" s="451"/>
      <c r="B33" s="503"/>
      <c r="C33" s="503"/>
      <c r="D33" s="503"/>
      <c r="E33" s="503"/>
      <c r="F33" s="503"/>
      <c r="G33" s="404"/>
      <c r="H33" s="223"/>
      <c r="I33" s="528">
        <f>(K26/H26)*(1+G33)</f>
        <v>10.378909090909092</v>
      </c>
      <c r="J33" s="528"/>
      <c r="K33" s="546"/>
      <c r="M33" s="543"/>
      <c r="N33" s="544"/>
      <c r="O33" s="544"/>
      <c r="P33" s="544"/>
      <c r="Q33" s="544"/>
      <c r="R33" s="544"/>
      <c r="S33" s="544"/>
      <c r="T33" s="545"/>
    </row>
    <row r="34" spans="1:11" ht="17.25" customHeight="1">
      <c r="A34" s="401" t="s">
        <v>11</v>
      </c>
      <c r="B34" s="491" t="s">
        <v>22</v>
      </c>
      <c r="C34" s="491"/>
      <c r="D34" s="491"/>
      <c r="E34" s="491"/>
      <c r="F34" s="491"/>
      <c r="G34" s="491"/>
      <c r="H34" s="491"/>
      <c r="I34" s="491"/>
      <c r="J34" s="491"/>
      <c r="K34" s="402"/>
    </row>
    <row r="35" spans="1:11" ht="17.25" customHeight="1">
      <c r="A35" s="458" t="s">
        <v>23</v>
      </c>
      <c r="B35" s="458"/>
      <c r="C35" s="458"/>
      <c r="D35" s="458"/>
      <c r="E35" s="458"/>
      <c r="F35" s="458"/>
      <c r="G35" s="458"/>
      <c r="H35" s="458"/>
      <c r="I35" s="458"/>
      <c r="J35" s="458"/>
      <c r="K35" s="224">
        <f>ROUND(SUM(K26:K34),2)</f>
        <v>2283.36</v>
      </c>
    </row>
    <row r="36" spans="1:11" ht="6.75" customHeight="1">
      <c r="A36" s="457"/>
      <c r="B36" s="457"/>
      <c r="C36" s="457"/>
      <c r="D36" s="457"/>
      <c r="E36" s="457"/>
      <c r="F36" s="457"/>
      <c r="G36" s="457"/>
      <c r="H36" s="457"/>
      <c r="I36" s="457"/>
      <c r="J36" s="457"/>
      <c r="K36" s="457"/>
    </row>
    <row r="37" spans="1:11" ht="17.25" customHeight="1">
      <c r="A37" s="458" t="s">
        <v>24</v>
      </c>
      <c r="B37" s="458"/>
      <c r="C37" s="458"/>
      <c r="D37" s="458"/>
      <c r="E37" s="458"/>
      <c r="F37" s="458"/>
      <c r="G37" s="458"/>
      <c r="H37" s="458"/>
      <c r="I37" s="458"/>
      <c r="J37" s="458"/>
      <c r="K37" s="458"/>
    </row>
    <row r="38" spans="1:13" ht="17.25" customHeight="1">
      <c r="A38" s="455" t="s">
        <v>121</v>
      </c>
      <c r="B38" s="455"/>
      <c r="C38" s="455"/>
      <c r="D38" s="455"/>
      <c r="E38" s="455"/>
      <c r="F38" s="455"/>
      <c r="G38" s="455"/>
      <c r="H38" s="455"/>
      <c r="I38" s="455"/>
      <c r="J38" s="455"/>
      <c r="K38" s="455"/>
      <c r="M38" s="118"/>
    </row>
    <row r="39" spans="1:20" s="119" customFormat="1" ht="17.25" customHeight="1">
      <c r="A39" s="498"/>
      <c r="B39" s="498"/>
      <c r="C39" s="498"/>
      <c r="D39" s="498"/>
      <c r="E39" s="498"/>
      <c r="F39" s="498"/>
      <c r="G39" s="498"/>
      <c r="H39" s="498"/>
      <c r="I39" s="458" t="s">
        <v>25</v>
      </c>
      <c r="J39" s="458"/>
      <c r="K39" s="398" t="s">
        <v>20</v>
      </c>
      <c r="M39" s="116"/>
      <c r="N39" s="116"/>
      <c r="O39" s="116"/>
      <c r="P39" s="116"/>
      <c r="Q39" s="116"/>
      <c r="R39" s="116"/>
      <c r="S39" s="116"/>
      <c r="T39" s="116"/>
    </row>
    <row r="40" spans="1:20" ht="17.25" customHeight="1">
      <c r="A40" s="401" t="s">
        <v>1</v>
      </c>
      <c r="B40" s="465" t="s">
        <v>122</v>
      </c>
      <c r="C40" s="465"/>
      <c r="D40" s="465"/>
      <c r="E40" s="465"/>
      <c r="F40" s="465"/>
      <c r="G40" s="465"/>
      <c r="H40" s="465"/>
      <c r="I40" s="501">
        <f>ROUND(1/12,4)</f>
        <v>0.0833</v>
      </c>
      <c r="J40" s="501"/>
      <c r="K40" s="405">
        <f>ROUND(I40*$K$35,2)</f>
        <v>190.2</v>
      </c>
      <c r="M40" s="529" t="s">
        <v>249</v>
      </c>
      <c r="N40" s="530"/>
      <c r="O40" s="530"/>
      <c r="P40" s="530"/>
      <c r="Q40" s="530"/>
      <c r="R40" s="530"/>
      <c r="S40" s="530"/>
      <c r="T40" s="531"/>
    </row>
    <row r="41" spans="1:20" ht="17.25" customHeight="1">
      <c r="A41" s="401" t="s">
        <v>3</v>
      </c>
      <c r="B41" s="503" t="s">
        <v>26</v>
      </c>
      <c r="C41" s="503"/>
      <c r="D41" s="503"/>
      <c r="E41" s="503"/>
      <c r="F41" s="503"/>
      <c r="G41" s="503"/>
      <c r="H41" s="503"/>
      <c r="I41" s="501">
        <f>ROUND(1/3/12,4)</f>
        <v>0.0278</v>
      </c>
      <c r="J41" s="501"/>
      <c r="K41" s="405">
        <f>ROUND(I41*$K$35,2)</f>
        <v>63.48</v>
      </c>
      <c r="M41" s="532"/>
      <c r="N41" s="533"/>
      <c r="O41" s="533"/>
      <c r="P41" s="533"/>
      <c r="Q41" s="533"/>
      <c r="R41" s="533"/>
      <c r="S41" s="533"/>
      <c r="T41" s="534"/>
    </row>
    <row r="42" spans="1:20" ht="17.25" customHeight="1">
      <c r="A42" s="225" t="s">
        <v>5</v>
      </c>
      <c r="B42" s="502" t="s">
        <v>141</v>
      </c>
      <c r="C42" s="502"/>
      <c r="D42" s="502"/>
      <c r="E42" s="502"/>
      <c r="F42" s="502"/>
      <c r="G42" s="502"/>
      <c r="H42" s="502"/>
      <c r="I42" s="501">
        <f>ROUND(1/12,4)</f>
        <v>0.0833</v>
      </c>
      <c r="J42" s="501"/>
      <c r="K42" s="410">
        <f>ROUND(I42*$K$35,2)</f>
        <v>190.2</v>
      </c>
      <c r="M42" s="535"/>
      <c r="N42" s="536"/>
      <c r="O42" s="536"/>
      <c r="P42" s="536"/>
      <c r="Q42" s="536"/>
      <c r="R42" s="536"/>
      <c r="S42" s="536"/>
      <c r="T42" s="537"/>
    </row>
    <row r="43" spans="1:11" ht="17.25" customHeight="1">
      <c r="A43" s="455" t="s">
        <v>27</v>
      </c>
      <c r="B43" s="455"/>
      <c r="C43" s="455"/>
      <c r="D43" s="455"/>
      <c r="E43" s="455"/>
      <c r="F43" s="455"/>
      <c r="G43" s="455"/>
      <c r="H43" s="455"/>
      <c r="I43" s="497">
        <f>SUM(I40:J42)</f>
        <v>0.19440000000000002</v>
      </c>
      <c r="J43" s="497"/>
      <c r="K43" s="226">
        <f>ROUND(SUM(K40:K42),2)</f>
        <v>443.88</v>
      </c>
    </row>
    <row r="44" spans="1:11" ht="6.75" customHeight="1">
      <c r="A44" s="476"/>
      <c r="B44" s="476"/>
      <c r="C44" s="476"/>
      <c r="D44" s="476"/>
      <c r="E44" s="476"/>
      <c r="F44" s="476"/>
      <c r="G44" s="476"/>
      <c r="H44" s="476"/>
      <c r="I44" s="476"/>
      <c r="J44" s="476"/>
      <c r="K44" s="476"/>
    </row>
    <row r="45" spans="1:11" ht="17.25" customHeight="1">
      <c r="A45" s="455" t="s">
        <v>28</v>
      </c>
      <c r="B45" s="455"/>
      <c r="C45" s="455"/>
      <c r="D45" s="455"/>
      <c r="E45" s="455"/>
      <c r="F45" s="455"/>
      <c r="G45" s="455"/>
      <c r="H45" s="455"/>
      <c r="I45" s="455"/>
      <c r="J45" s="455"/>
      <c r="K45" s="455"/>
    </row>
    <row r="46" spans="1:11" ht="17.25" customHeight="1">
      <c r="A46" s="500" t="s">
        <v>68</v>
      </c>
      <c r="B46" s="500"/>
      <c r="C46" s="500"/>
      <c r="D46" s="500"/>
      <c r="E46" s="500"/>
      <c r="F46" s="500"/>
      <c r="G46" s="500"/>
      <c r="H46" s="500"/>
      <c r="I46" s="500"/>
      <c r="J46" s="500"/>
      <c r="K46" s="226">
        <f>K35</f>
        <v>2283.36</v>
      </c>
    </row>
    <row r="47" spans="1:11" ht="17.25" customHeight="1">
      <c r="A47" s="499" t="s">
        <v>79</v>
      </c>
      <c r="B47" s="499"/>
      <c r="C47" s="499"/>
      <c r="D47" s="499"/>
      <c r="E47" s="499"/>
      <c r="F47" s="499"/>
      <c r="G47" s="499"/>
      <c r="H47" s="499"/>
      <c r="I47" s="499"/>
      <c r="J47" s="499"/>
      <c r="K47" s="226">
        <f>K43</f>
        <v>443.88</v>
      </c>
    </row>
    <row r="48" spans="1:11" ht="17.25" customHeight="1">
      <c r="A48" s="499" t="s">
        <v>80</v>
      </c>
      <c r="B48" s="499"/>
      <c r="C48" s="499"/>
      <c r="D48" s="499"/>
      <c r="E48" s="499"/>
      <c r="F48" s="499"/>
      <c r="G48" s="499"/>
      <c r="H48" s="499"/>
      <c r="I48" s="499"/>
      <c r="J48" s="499"/>
      <c r="K48" s="226">
        <f>SUM(K46:K47)</f>
        <v>2727.2400000000002</v>
      </c>
    </row>
    <row r="49" spans="1:20" s="119" customFormat="1" ht="17.25" customHeight="1">
      <c r="A49" s="498"/>
      <c r="B49" s="498"/>
      <c r="C49" s="498"/>
      <c r="D49" s="498"/>
      <c r="E49" s="498"/>
      <c r="F49" s="498"/>
      <c r="G49" s="498"/>
      <c r="H49" s="498"/>
      <c r="I49" s="458" t="s">
        <v>25</v>
      </c>
      <c r="J49" s="458"/>
      <c r="K49" s="398" t="s">
        <v>20</v>
      </c>
      <c r="M49" s="120"/>
      <c r="N49" s="120"/>
      <c r="O49" s="120"/>
      <c r="P49" s="120"/>
      <c r="Q49" s="120"/>
      <c r="R49" s="120"/>
      <c r="S49" s="116"/>
      <c r="T49" s="116"/>
    </row>
    <row r="50" spans="1:11" ht="17.25" customHeight="1">
      <c r="A50" s="401" t="s">
        <v>1</v>
      </c>
      <c r="B50" s="465" t="s">
        <v>144</v>
      </c>
      <c r="C50" s="465"/>
      <c r="D50" s="465"/>
      <c r="E50" s="465"/>
      <c r="F50" s="465"/>
      <c r="G50" s="465"/>
      <c r="H50" s="465"/>
      <c r="I50" s="464">
        <f>'Item 1.1'!I50:J50</f>
        <v>0.2</v>
      </c>
      <c r="J50" s="464"/>
      <c r="K50" s="405">
        <f>ROUND(I50*$K$48,2)</f>
        <v>545.45</v>
      </c>
    </row>
    <row r="51" spans="1:11" ht="17.25" customHeight="1">
      <c r="A51" s="401" t="s">
        <v>3</v>
      </c>
      <c r="B51" s="465" t="s">
        <v>145</v>
      </c>
      <c r="C51" s="465"/>
      <c r="D51" s="465"/>
      <c r="E51" s="465"/>
      <c r="F51" s="465"/>
      <c r="G51" s="465"/>
      <c r="H51" s="465"/>
      <c r="I51" s="464">
        <v>0.025</v>
      </c>
      <c r="J51" s="464"/>
      <c r="K51" s="405">
        <f>ROUND(I51*$K$48,2)</f>
        <v>68.18</v>
      </c>
    </row>
    <row r="52" spans="1:20" ht="17.25" customHeight="1">
      <c r="A52" s="493" t="s">
        <v>5</v>
      </c>
      <c r="B52" s="527" t="s">
        <v>146</v>
      </c>
      <c r="C52" s="527"/>
      <c r="D52" s="527"/>
      <c r="E52" s="527"/>
      <c r="F52" s="527"/>
      <c r="G52" s="227" t="s">
        <v>118</v>
      </c>
      <c r="H52" s="227" t="s">
        <v>119</v>
      </c>
      <c r="I52" s="501">
        <f>(G53*H53)*100</f>
        <v>0.03</v>
      </c>
      <c r="J52" s="501"/>
      <c r="K52" s="492">
        <f>ROUND(I52*K48,2)</f>
        <v>81.82</v>
      </c>
      <c r="M52" s="484" t="s">
        <v>260</v>
      </c>
      <c r="N52" s="485"/>
      <c r="O52" s="485"/>
      <c r="P52" s="485"/>
      <c r="Q52" s="485"/>
      <c r="R52" s="485"/>
      <c r="S52" s="485"/>
      <c r="T52" s="486"/>
    </row>
    <row r="53" spans="1:20" ht="17.25" customHeight="1">
      <c r="A53" s="493"/>
      <c r="B53" s="527"/>
      <c r="C53" s="527"/>
      <c r="D53" s="527"/>
      <c r="E53" s="527"/>
      <c r="F53" s="527"/>
      <c r="G53" s="408">
        <f>'Item 1.1'!G53</f>
        <v>0.03</v>
      </c>
      <c r="H53" s="403">
        <v>0.01</v>
      </c>
      <c r="I53" s="501"/>
      <c r="J53" s="501"/>
      <c r="K53" s="492"/>
      <c r="M53" s="487"/>
      <c r="N53" s="488"/>
      <c r="O53" s="488"/>
      <c r="P53" s="488"/>
      <c r="Q53" s="488"/>
      <c r="R53" s="488"/>
      <c r="S53" s="488"/>
      <c r="T53" s="489"/>
    </row>
    <row r="54" spans="1:11" ht="17.25" customHeight="1">
      <c r="A54" s="401" t="s">
        <v>6</v>
      </c>
      <c r="B54" s="465" t="s">
        <v>147</v>
      </c>
      <c r="C54" s="465"/>
      <c r="D54" s="465"/>
      <c r="E54" s="465"/>
      <c r="F54" s="465"/>
      <c r="G54" s="465"/>
      <c r="H54" s="465"/>
      <c r="I54" s="464">
        <v>0.015</v>
      </c>
      <c r="J54" s="464"/>
      <c r="K54" s="405">
        <f>ROUND(I54*$K$48,2)</f>
        <v>40.91</v>
      </c>
    </row>
    <row r="55" spans="1:11" ht="17.25" customHeight="1">
      <c r="A55" s="401" t="s">
        <v>8</v>
      </c>
      <c r="B55" s="465" t="s">
        <v>148</v>
      </c>
      <c r="C55" s="465"/>
      <c r="D55" s="465"/>
      <c r="E55" s="465"/>
      <c r="F55" s="465"/>
      <c r="G55" s="465"/>
      <c r="H55" s="465"/>
      <c r="I55" s="464">
        <v>0.01</v>
      </c>
      <c r="J55" s="464"/>
      <c r="K55" s="405">
        <f>ROUND(I55*$K$48,2)</f>
        <v>27.27</v>
      </c>
    </row>
    <row r="56" spans="1:11" ht="17.25" customHeight="1">
      <c r="A56" s="401" t="s">
        <v>10</v>
      </c>
      <c r="B56" s="465" t="s">
        <v>149</v>
      </c>
      <c r="C56" s="465"/>
      <c r="D56" s="465"/>
      <c r="E56" s="465"/>
      <c r="F56" s="465"/>
      <c r="G56" s="465"/>
      <c r="H56" s="465"/>
      <c r="I56" s="464">
        <v>0.006</v>
      </c>
      <c r="J56" s="464"/>
      <c r="K56" s="405">
        <f>ROUND(I56*$K$48,2)</f>
        <v>16.36</v>
      </c>
    </row>
    <row r="57" spans="1:11" ht="17.25" customHeight="1">
      <c r="A57" s="401" t="s">
        <v>11</v>
      </c>
      <c r="B57" s="465" t="s">
        <v>150</v>
      </c>
      <c r="C57" s="465"/>
      <c r="D57" s="465"/>
      <c r="E57" s="465"/>
      <c r="F57" s="465"/>
      <c r="G57" s="465"/>
      <c r="H57" s="465"/>
      <c r="I57" s="464">
        <v>0.002</v>
      </c>
      <c r="J57" s="464"/>
      <c r="K57" s="405">
        <f>ROUND(I57*$K$48,2)</f>
        <v>5.45</v>
      </c>
    </row>
    <row r="58" spans="1:11" ht="17.25" customHeight="1">
      <c r="A58" s="401" t="s">
        <v>12</v>
      </c>
      <c r="B58" s="465" t="s">
        <v>151</v>
      </c>
      <c r="C58" s="465"/>
      <c r="D58" s="465"/>
      <c r="E58" s="465"/>
      <c r="F58" s="465"/>
      <c r="G58" s="465"/>
      <c r="H58" s="465"/>
      <c r="I58" s="464">
        <v>0.08</v>
      </c>
      <c r="J58" s="464"/>
      <c r="K58" s="405">
        <f>ROUND(I58*$K$48,2)</f>
        <v>218.18</v>
      </c>
    </row>
    <row r="59" spans="1:11" ht="17.25" customHeight="1">
      <c r="A59" s="455" t="s">
        <v>29</v>
      </c>
      <c r="B59" s="455"/>
      <c r="C59" s="455"/>
      <c r="D59" s="455"/>
      <c r="E59" s="455"/>
      <c r="F59" s="455"/>
      <c r="G59" s="455"/>
      <c r="H59" s="455"/>
      <c r="I59" s="497">
        <f>SUM(I50:J58)</f>
        <v>0.36800000000000005</v>
      </c>
      <c r="J59" s="497"/>
      <c r="K59" s="226">
        <f>ROUND(SUM(K50:K58),2)</f>
        <v>1003.62</v>
      </c>
    </row>
    <row r="60" spans="1:11" ht="5.25" customHeight="1">
      <c r="A60" s="463"/>
      <c r="B60" s="463"/>
      <c r="C60" s="463"/>
      <c r="D60" s="463"/>
      <c r="E60" s="463"/>
      <c r="F60" s="463"/>
      <c r="G60" s="463"/>
      <c r="H60" s="463"/>
      <c r="I60" s="463"/>
      <c r="J60" s="463"/>
      <c r="K60" s="463"/>
    </row>
    <row r="61" spans="1:20" ht="17.25" customHeight="1">
      <c r="A61" s="455" t="s">
        <v>30</v>
      </c>
      <c r="B61" s="455"/>
      <c r="C61" s="455"/>
      <c r="D61" s="455"/>
      <c r="E61" s="455"/>
      <c r="F61" s="455"/>
      <c r="G61" s="455"/>
      <c r="H61" s="455"/>
      <c r="I61" s="455"/>
      <c r="J61" s="455"/>
      <c r="K61" s="455"/>
      <c r="M61" s="504" t="s">
        <v>155</v>
      </c>
      <c r="N61" s="505"/>
      <c r="O61" s="505"/>
      <c r="P61" s="505"/>
      <c r="Q61" s="505"/>
      <c r="R61" s="505"/>
      <c r="S61" s="505"/>
      <c r="T61" s="506"/>
    </row>
    <row r="62" spans="1:20" ht="17.25" customHeight="1">
      <c r="A62" s="480"/>
      <c r="B62" s="480"/>
      <c r="C62" s="480"/>
      <c r="D62" s="480"/>
      <c r="E62" s="480"/>
      <c r="F62" s="480"/>
      <c r="G62" s="480"/>
      <c r="H62" s="480"/>
      <c r="I62" s="480"/>
      <c r="J62" s="480"/>
      <c r="K62" s="398" t="s">
        <v>20</v>
      </c>
      <c r="M62" s="507"/>
      <c r="N62" s="508"/>
      <c r="O62" s="508"/>
      <c r="P62" s="508"/>
      <c r="Q62" s="508"/>
      <c r="R62" s="508"/>
      <c r="S62" s="508"/>
      <c r="T62" s="509"/>
    </row>
    <row r="63" spans="1:11" ht="17.25" customHeight="1">
      <c r="A63" s="451" t="s">
        <v>1</v>
      </c>
      <c r="B63" s="482" t="s">
        <v>128</v>
      </c>
      <c r="C63" s="482"/>
      <c r="D63" s="482"/>
      <c r="E63" s="482"/>
      <c r="F63" s="482"/>
      <c r="G63" s="494"/>
      <c r="H63" s="494"/>
      <c r="I63" s="494"/>
      <c r="J63" s="494"/>
      <c r="K63" s="471">
        <f>ROUND((B65*E65*F65)-G65,2)</f>
        <v>199.6</v>
      </c>
    </row>
    <row r="64" spans="1:11" ht="17.25" customHeight="1">
      <c r="A64" s="451"/>
      <c r="B64" s="495" t="s">
        <v>34</v>
      </c>
      <c r="C64" s="495"/>
      <c r="D64" s="495"/>
      <c r="E64" s="401" t="s">
        <v>32</v>
      </c>
      <c r="F64" s="407" t="s">
        <v>35</v>
      </c>
      <c r="G64" s="495" t="s">
        <v>139</v>
      </c>
      <c r="H64" s="495"/>
      <c r="I64" s="495"/>
      <c r="J64" s="495"/>
      <c r="K64" s="471"/>
    </row>
    <row r="65" spans="1:11" ht="17.25" customHeight="1">
      <c r="A65" s="451"/>
      <c r="B65" s="483">
        <v>2</v>
      </c>
      <c r="C65" s="483"/>
      <c r="D65" s="483"/>
      <c r="E65" s="243">
        <v>22</v>
      </c>
      <c r="F65" s="402">
        <v>7.65</v>
      </c>
      <c r="G65" s="471">
        <f>0.06*K26</f>
        <v>137.0016</v>
      </c>
      <c r="H65" s="471"/>
      <c r="I65" s="471"/>
      <c r="J65" s="471"/>
      <c r="K65" s="471"/>
    </row>
    <row r="66" spans="1:20" ht="17.25" customHeight="1">
      <c r="A66" s="451" t="s">
        <v>3</v>
      </c>
      <c r="B66" s="463" t="s">
        <v>81</v>
      </c>
      <c r="C66" s="463"/>
      <c r="D66" s="463"/>
      <c r="E66" s="463"/>
      <c r="F66" s="463"/>
      <c r="G66" s="494" t="s">
        <v>583</v>
      </c>
      <c r="H66" s="494"/>
      <c r="I66" s="494"/>
      <c r="J66" s="494"/>
      <c r="K66" s="471">
        <f>ROUND((B68-G68)*F68,2)</f>
        <v>576</v>
      </c>
      <c r="M66" s="510" t="s">
        <v>132</v>
      </c>
      <c r="N66" s="511"/>
      <c r="O66" s="511"/>
      <c r="P66" s="511"/>
      <c r="Q66" s="511"/>
      <c r="R66" s="511"/>
      <c r="S66" s="511"/>
      <c r="T66" s="512"/>
    </row>
    <row r="67" spans="1:20" ht="17.25" customHeight="1">
      <c r="A67" s="451"/>
      <c r="B67" s="451" t="s">
        <v>82</v>
      </c>
      <c r="C67" s="451"/>
      <c r="D67" s="451"/>
      <c r="E67" s="451"/>
      <c r="F67" s="401" t="s">
        <v>32</v>
      </c>
      <c r="G67" s="451" t="s">
        <v>131</v>
      </c>
      <c r="H67" s="451"/>
      <c r="I67" s="451"/>
      <c r="J67" s="451"/>
      <c r="K67" s="471"/>
      <c r="M67" s="513"/>
      <c r="N67" s="514"/>
      <c r="O67" s="514"/>
      <c r="P67" s="514"/>
      <c r="Q67" s="514"/>
      <c r="R67" s="514"/>
      <c r="S67" s="514"/>
      <c r="T67" s="515"/>
    </row>
    <row r="68" spans="1:20" ht="17.25" customHeight="1">
      <c r="A68" s="451"/>
      <c r="B68" s="496">
        <v>27.56</v>
      </c>
      <c r="C68" s="496"/>
      <c r="D68" s="496"/>
      <c r="E68" s="496"/>
      <c r="F68" s="243">
        <f>E65</f>
        <v>22</v>
      </c>
      <c r="G68" s="526">
        <f>B68*5%</f>
        <v>1.3780000000000001</v>
      </c>
      <c r="H68" s="526"/>
      <c r="I68" s="526"/>
      <c r="J68" s="526"/>
      <c r="K68" s="471"/>
      <c r="M68" s="516"/>
      <c r="N68" s="517"/>
      <c r="O68" s="517"/>
      <c r="P68" s="517"/>
      <c r="Q68" s="517"/>
      <c r="R68" s="517"/>
      <c r="S68" s="517"/>
      <c r="T68" s="518"/>
    </row>
    <row r="69" spans="1:11" ht="17.25" customHeight="1">
      <c r="A69" s="451" t="s">
        <v>5</v>
      </c>
      <c r="B69" s="463" t="s">
        <v>31</v>
      </c>
      <c r="C69" s="463"/>
      <c r="D69" s="463"/>
      <c r="E69" s="463"/>
      <c r="F69" s="463"/>
      <c r="G69" s="494" t="s">
        <v>583</v>
      </c>
      <c r="H69" s="494"/>
      <c r="I69" s="494"/>
      <c r="J69" s="494"/>
      <c r="K69" s="405"/>
    </row>
    <row r="70" spans="1:11" ht="17.25" customHeight="1">
      <c r="A70" s="451"/>
      <c r="B70" s="451" t="s">
        <v>82</v>
      </c>
      <c r="C70" s="451"/>
      <c r="D70" s="451"/>
      <c r="E70" s="451"/>
      <c r="F70" s="451"/>
      <c r="G70" s="451" t="s">
        <v>33</v>
      </c>
      <c r="H70" s="451"/>
      <c r="I70" s="451"/>
      <c r="J70" s="451"/>
      <c r="K70" s="471">
        <f>B71-G71</f>
        <v>0</v>
      </c>
    </row>
    <row r="71" spans="1:11" ht="17.25" customHeight="1">
      <c r="A71" s="451"/>
      <c r="B71" s="494"/>
      <c r="C71" s="494"/>
      <c r="D71" s="494"/>
      <c r="E71" s="494"/>
      <c r="F71" s="494"/>
      <c r="G71" s="494">
        <v>0</v>
      </c>
      <c r="H71" s="494"/>
      <c r="I71" s="494"/>
      <c r="J71" s="494"/>
      <c r="K71" s="471"/>
    </row>
    <row r="72" spans="1:11" ht="17.25" customHeight="1">
      <c r="A72" s="401" t="s">
        <v>6</v>
      </c>
      <c r="B72" s="526" t="s">
        <v>83</v>
      </c>
      <c r="C72" s="526"/>
      <c r="D72" s="526"/>
      <c r="E72" s="526"/>
      <c r="F72" s="526"/>
      <c r="G72" s="526"/>
      <c r="H72" s="526"/>
      <c r="I72" s="526"/>
      <c r="J72" s="526"/>
      <c r="K72" s="392"/>
    </row>
    <row r="73" spans="1:11" ht="17.25" customHeight="1">
      <c r="A73" s="455" t="s">
        <v>36</v>
      </c>
      <c r="B73" s="455"/>
      <c r="C73" s="455"/>
      <c r="D73" s="455"/>
      <c r="E73" s="455"/>
      <c r="F73" s="455"/>
      <c r="G73" s="455"/>
      <c r="H73" s="455"/>
      <c r="I73" s="455"/>
      <c r="J73" s="455"/>
      <c r="K73" s="226">
        <f>ROUND(SUM(K63:K72),2)</f>
        <v>775.6</v>
      </c>
    </row>
    <row r="74" spans="1:11" ht="17.25" customHeight="1">
      <c r="A74" s="458" t="s">
        <v>37</v>
      </c>
      <c r="B74" s="458"/>
      <c r="C74" s="458"/>
      <c r="D74" s="458"/>
      <c r="E74" s="458"/>
      <c r="F74" s="458"/>
      <c r="G74" s="458"/>
      <c r="H74" s="458"/>
      <c r="I74" s="458"/>
      <c r="J74" s="458"/>
      <c r="K74" s="224">
        <f>ROUND(SUM(K73,K59,K43),2)</f>
        <v>2223.1</v>
      </c>
    </row>
    <row r="75" spans="1:11" ht="6.75" customHeight="1">
      <c r="A75" s="457"/>
      <c r="B75" s="457"/>
      <c r="C75" s="457"/>
      <c r="D75" s="457"/>
      <c r="E75" s="457"/>
      <c r="F75" s="457"/>
      <c r="G75" s="457"/>
      <c r="H75" s="457"/>
      <c r="I75" s="457"/>
      <c r="J75" s="457"/>
      <c r="K75" s="457"/>
    </row>
    <row r="76" spans="1:20" ht="17.25" customHeight="1">
      <c r="A76" s="520" t="s">
        <v>38</v>
      </c>
      <c r="B76" s="520"/>
      <c r="C76" s="520"/>
      <c r="D76" s="520"/>
      <c r="E76" s="520"/>
      <c r="F76" s="520"/>
      <c r="G76" s="520"/>
      <c r="H76" s="520"/>
      <c r="I76" s="520"/>
      <c r="J76" s="520"/>
      <c r="K76" s="520"/>
      <c r="M76" s="479"/>
      <c r="N76" s="479"/>
      <c r="O76" s="479"/>
      <c r="P76" s="479"/>
      <c r="Q76" s="479"/>
      <c r="R76" s="479"/>
      <c r="S76" s="479"/>
      <c r="T76" s="479"/>
    </row>
    <row r="77" spans="1:20" ht="17.25" customHeight="1">
      <c r="A77" s="455" t="s">
        <v>250</v>
      </c>
      <c r="B77" s="455"/>
      <c r="C77" s="455"/>
      <c r="D77" s="455"/>
      <c r="E77" s="455"/>
      <c r="F77" s="455"/>
      <c r="G77" s="455"/>
      <c r="H77" s="455"/>
      <c r="I77" s="455"/>
      <c r="J77" s="455"/>
      <c r="K77" s="455"/>
      <c r="M77" s="479"/>
      <c r="N77" s="479"/>
      <c r="O77" s="479"/>
      <c r="P77" s="479"/>
      <c r="Q77" s="479"/>
      <c r="R77" s="479"/>
      <c r="S77" s="479"/>
      <c r="T77" s="479"/>
    </row>
    <row r="78" spans="1:20" ht="17.25" customHeight="1">
      <c r="A78" s="453" t="s">
        <v>68</v>
      </c>
      <c r="B78" s="453"/>
      <c r="C78" s="453"/>
      <c r="D78" s="453"/>
      <c r="E78" s="453"/>
      <c r="F78" s="453"/>
      <c r="G78" s="453"/>
      <c r="H78" s="453"/>
      <c r="I78" s="453"/>
      <c r="J78" s="453"/>
      <c r="K78" s="233">
        <f>K35</f>
        <v>2283.36</v>
      </c>
      <c r="M78" s="479"/>
      <c r="N78" s="479"/>
      <c r="O78" s="479"/>
      <c r="P78" s="479"/>
      <c r="Q78" s="479"/>
      <c r="R78" s="479"/>
      <c r="S78" s="479"/>
      <c r="T78" s="479"/>
    </row>
    <row r="79" spans="1:20" ht="17.25" customHeight="1">
      <c r="A79" s="453" t="s">
        <v>251</v>
      </c>
      <c r="B79" s="453"/>
      <c r="C79" s="453"/>
      <c r="D79" s="453"/>
      <c r="E79" s="453"/>
      <c r="F79" s="453"/>
      <c r="G79" s="453"/>
      <c r="H79" s="453"/>
      <c r="I79" s="453"/>
      <c r="J79" s="453"/>
      <c r="K79" s="233">
        <f>K43</f>
        <v>443.88</v>
      </c>
      <c r="M79" s="479"/>
      <c r="N79" s="479"/>
      <c r="O79" s="479"/>
      <c r="P79" s="479"/>
      <c r="Q79" s="479"/>
      <c r="R79" s="479"/>
      <c r="S79" s="479"/>
      <c r="T79" s="479"/>
    </row>
    <row r="80" spans="1:20" ht="17.25" customHeight="1">
      <c r="A80" s="453" t="s">
        <v>703</v>
      </c>
      <c r="B80" s="453"/>
      <c r="C80" s="453"/>
      <c r="D80" s="453"/>
      <c r="E80" s="453"/>
      <c r="F80" s="453"/>
      <c r="G80" s="453"/>
      <c r="H80" s="453"/>
      <c r="I80" s="453"/>
      <c r="J80" s="453"/>
      <c r="K80" s="233">
        <f>K58</f>
        <v>218.18</v>
      </c>
      <c r="M80" s="479"/>
      <c r="N80" s="479"/>
      <c r="O80" s="479"/>
      <c r="P80" s="479"/>
      <c r="Q80" s="479"/>
      <c r="R80" s="479"/>
      <c r="S80" s="479"/>
      <c r="T80" s="479"/>
    </row>
    <row r="81" spans="1:20" ht="17.25" customHeight="1">
      <c r="A81" s="453" t="s">
        <v>30</v>
      </c>
      <c r="B81" s="453"/>
      <c r="C81" s="453"/>
      <c r="D81" s="453"/>
      <c r="E81" s="453"/>
      <c r="F81" s="453"/>
      <c r="G81" s="453"/>
      <c r="H81" s="453"/>
      <c r="I81" s="453"/>
      <c r="J81" s="453"/>
      <c r="K81" s="233">
        <f>K73</f>
        <v>775.6</v>
      </c>
      <c r="M81" s="479"/>
      <c r="N81" s="479"/>
      <c r="O81" s="479"/>
      <c r="P81" s="479"/>
      <c r="Q81" s="479"/>
      <c r="R81" s="479"/>
      <c r="S81" s="479"/>
      <c r="T81" s="479"/>
    </row>
    <row r="82" spans="1:20" ht="17.25" customHeight="1">
      <c r="A82" s="453" t="s">
        <v>704</v>
      </c>
      <c r="B82" s="453"/>
      <c r="C82" s="453"/>
      <c r="D82" s="453"/>
      <c r="E82" s="453"/>
      <c r="F82" s="453"/>
      <c r="G82" s="453"/>
      <c r="H82" s="453"/>
      <c r="I82" s="453"/>
      <c r="J82" s="453"/>
      <c r="K82" s="233">
        <f>SUM(K78:K81)</f>
        <v>3721.02</v>
      </c>
      <c r="M82" s="479"/>
      <c r="N82" s="479"/>
      <c r="O82" s="479"/>
      <c r="P82" s="479"/>
      <c r="Q82" s="479"/>
      <c r="R82" s="479"/>
      <c r="S82" s="479"/>
      <c r="T82" s="479"/>
    </row>
    <row r="83" spans="1:20" ht="17.25" customHeight="1">
      <c r="A83" s="453" t="s">
        <v>252</v>
      </c>
      <c r="B83" s="453"/>
      <c r="C83" s="453"/>
      <c r="D83" s="453"/>
      <c r="E83" s="453"/>
      <c r="F83" s="453"/>
      <c r="G83" s="453"/>
      <c r="H83" s="453"/>
      <c r="I83" s="453"/>
      <c r="J83" s="453"/>
      <c r="K83" s="233">
        <f>ROUND(K82/12,2)</f>
        <v>310.09</v>
      </c>
      <c r="M83" s="479"/>
      <c r="N83" s="479"/>
      <c r="O83" s="479"/>
      <c r="P83" s="479"/>
      <c r="Q83" s="479"/>
      <c r="R83" s="479"/>
      <c r="S83" s="479"/>
      <c r="T83" s="479"/>
    </row>
    <row r="84" spans="1:20" ht="17.25" customHeight="1">
      <c r="A84" s="453" t="s">
        <v>705</v>
      </c>
      <c r="B84" s="453"/>
      <c r="C84" s="453"/>
      <c r="D84" s="453"/>
      <c r="E84" s="453"/>
      <c r="F84" s="453"/>
      <c r="G84" s="453"/>
      <c r="H84" s="453"/>
      <c r="I84" s="453"/>
      <c r="J84" s="453"/>
      <c r="K84" s="233">
        <f>ROUND(K80*40%,2)</f>
        <v>87.27</v>
      </c>
      <c r="M84" s="479"/>
      <c r="N84" s="479"/>
      <c r="O84" s="479"/>
      <c r="P84" s="479"/>
      <c r="Q84" s="479"/>
      <c r="R84" s="479"/>
      <c r="S84" s="479"/>
      <c r="T84" s="479"/>
    </row>
    <row r="85" spans="1:20" ht="17.25" customHeight="1">
      <c r="A85" s="451" t="s">
        <v>253</v>
      </c>
      <c r="B85" s="451"/>
      <c r="C85" s="451"/>
      <c r="D85" s="451"/>
      <c r="E85" s="451"/>
      <c r="F85" s="451"/>
      <c r="G85" s="451"/>
      <c r="H85" s="451"/>
      <c r="I85" s="451"/>
      <c r="J85" s="451"/>
      <c r="K85" s="405">
        <f>ROUND(K83+K84,2)</f>
        <v>397.36</v>
      </c>
      <c r="M85" s="479"/>
      <c r="N85" s="479"/>
      <c r="O85" s="479"/>
      <c r="P85" s="479"/>
      <c r="Q85" s="479"/>
      <c r="R85" s="479"/>
      <c r="S85" s="479"/>
      <c r="T85" s="479"/>
    </row>
    <row r="86" spans="1:20" ht="17.25" customHeight="1">
      <c r="A86" s="451" t="s">
        <v>256</v>
      </c>
      <c r="B86" s="451"/>
      <c r="C86" s="451"/>
      <c r="D86" s="451"/>
      <c r="E86" s="451"/>
      <c r="F86" s="451"/>
      <c r="G86" s="451"/>
      <c r="H86" s="463" t="s">
        <v>254</v>
      </c>
      <c r="I86" s="463"/>
      <c r="J86" s="463"/>
      <c r="K86" s="234" t="s">
        <v>255</v>
      </c>
      <c r="M86" s="479"/>
      <c r="N86" s="479"/>
      <c r="O86" s="479"/>
      <c r="P86" s="479"/>
      <c r="Q86" s="479"/>
      <c r="R86" s="479"/>
      <c r="S86" s="479"/>
      <c r="T86" s="479"/>
    </row>
    <row r="87" spans="1:20" ht="17.25" customHeight="1">
      <c r="A87" s="451"/>
      <c r="B87" s="451"/>
      <c r="C87" s="451"/>
      <c r="D87" s="451"/>
      <c r="E87" s="451"/>
      <c r="F87" s="451"/>
      <c r="G87" s="451"/>
      <c r="H87" s="464">
        <f>'Item 1.1'!H87:J87</f>
        <v>0.5</v>
      </c>
      <c r="I87" s="464"/>
      <c r="J87" s="464"/>
      <c r="K87" s="405">
        <f>ROUND(H87*K85,2)</f>
        <v>198.68</v>
      </c>
      <c r="M87" s="479"/>
      <c r="N87" s="479"/>
      <c r="O87" s="479"/>
      <c r="P87" s="479"/>
      <c r="Q87" s="479"/>
      <c r="R87" s="479"/>
      <c r="S87" s="479"/>
      <c r="T87" s="479"/>
    </row>
    <row r="88" spans="1:20" ht="17.25" customHeight="1">
      <c r="A88" s="455" t="s">
        <v>706</v>
      </c>
      <c r="B88" s="455"/>
      <c r="C88" s="455"/>
      <c r="D88" s="455"/>
      <c r="E88" s="455"/>
      <c r="F88" s="455"/>
      <c r="G88" s="455"/>
      <c r="H88" s="455"/>
      <c r="I88" s="455"/>
      <c r="J88" s="455"/>
      <c r="K88" s="226">
        <f>ROUND(K87,2)</f>
        <v>198.68</v>
      </c>
      <c r="M88" s="479"/>
      <c r="N88" s="479"/>
      <c r="O88" s="479"/>
      <c r="P88" s="479"/>
      <c r="Q88" s="479"/>
      <c r="R88" s="479"/>
      <c r="S88" s="479"/>
      <c r="T88" s="479"/>
    </row>
    <row r="89" spans="1:20" ht="17.25" customHeight="1">
      <c r="A89" s="459" t="s">
        <v>257</v>
      </c>
      <c r="B89" s="459"/>
      <c r="C89" s="459"/>
      <c r="D89" s="459"/>
      <c r="E89" s="459"/>
      <c r="F89" s="459"/>
      <c r="G89" s="459"/>
      <c r="H89" s="459"/>
      <c r="I89" s="459"/>
      <c r="J89" s="459"/>
      <c r="K89" s="459"/>
      <c r="M89" s="479"/>
      <c r="N89" s="479"/>
      <c r="O89" s="479"/>
      <c r="P89" s="479"/>
      <c r="Q89" s="479"/>
      <c r="R89" s="479"/>
      <c r="S89" s="479"/>
      <c r="T89" s="479"/>
    </row>
    <row r="90" spans="1:20" ht="17.25" customHeight="1">
      <c r="A90" s="453" t="s">
        <v>705</v>
      </c>
      <c r="B90" s="453"/>
      <c r="C90" s="453"/>
      <c r="D90" s="453"/>
      <c r="E90" s="453"/>
      <c r="F90" s="453"/>
      <c r="G90" s="453"/>
      <c r="H90" s="453"/>
      <c r="I90" s="453"/>
      <c r="J90" s="453"/>
      <c r="K90" s="233">
        <f>ROUND(K80*40%,2)</f>
        <v>87.27</v>
      </c>
      <c r="M90" s="479"/>
      <c r="N90" s="479"/>
      <c r="O90" s="479"/>
      <c r="P90" s="479"/>
      <c r="Q90" s="479"/>
      <c r="R90" s="479"/>
      <c r="S90" s="479"/>
      <c r="T90" s="479"/>
    </row>
    <row r="91" spans="1:20" ht="17.25" customHeight="1">
      <c r="A91" s="451" t="s">
        <v>258</v>
      </c>
      <c r="B91" s="451"/>
      <c r="C91" s="451"/>
      <c r="D91" s="451"/>
      <c r="E91" s="451"/>
      <c r="F91" s="451"/>
      <c r="G91" s="451"/>
      <c r="H91" s="451"/>
      <c r="I91" s="451"/>
      <c r="J91" s="451"/>
      <c r="K91" s="405">
        <f>K90</f>
        <v>87.27</v>
      </c>
      <c r="M91" s="479"/>
      <c r="N91" s="479"/>
      <c r="O91" s="479"/>
      <c r="P91" s="479"/>
      <c r="Q91" s="479"/>
      <c r="R91" s="479"/>
      <c r="S91" s="479"/>
      <c r="T91" s="479"/>
    </row>
    <row r="92" spans="1:20" ht="17.25" customHeight="1">
      <c r="A92" s="451" t="s">
        <v>259</v>
      </c>
      <c r="B92" s="451"/>
      <c r="C92" s="451"/>
      <c r="D92" s="451"/>
      <c r="E92" s="451"/>
      <c r="F92" s="451"/>
      <c r="G92" s="451"/>
      <c r="H92" s="463" t="s">
        <v>254</v>
      </c>
      <c r="I92" s="463"/>
      <c r="J92" s="463"/>
      <c r="K92" s="234" t="s">
        <v>255</v>
      </c>
      <c r="M92" s="479"/>
      <c r="N92" s="479"/>
      <c r="O92" s="479"/>
      <c r="P92" s="479"/>
      <c r="Q92" s="479"/>
      <c r="R92" s="479"/>
      <c r="S92" s="479"/>
      <c r="T92" s="479"/>
    </row>
    <row r="93" spans="1:20" ht="17.25" customHeight="1">
      <c r="A93" s="451"/>
      <c r="B93" s="451"/>
      <c r="C93" s="451"/>
      <c r="D93" s="451"/>
      <c r="E93" s="451"/>
      <c r="F93" s="451"/>
      <c r="G93" s="451"/>
      <c r="H93" s="464">
        <f>'Item 1.1'!H93:J93</f>
        <v>0.5</v>
      </c>
      <c r="I93" s="464"/>
      <c r="J93" s="464"/>
      <c r="K93" s="405">
        <f>ROUND(H93*K91,2)</f>
        <v>43.64</v>
      </c>
      <c r="M93" s="479"/>
      <c r="N93" s="479"/>
      <c r="O93" s="479"/>
      <c r="P93" s="479"/>
      <c r="Q93" s="479"/>
      <c r="R93" s="479"/>
      <c r="S93" s="479"/>
      <c r="T93" s="479"/>
    </row>
    <row r="94" spans="1:20" ht="17.25" customHeight="1">
      <c r="A94" s="455" t="s">
        <v>707</v>
      </c>
      <c r="B94" s="455"/>
      <c r="C94" s="455"/>
      <c r="D94" s="455"/>
      <c r="E94" s="455"/>
      <c r="F94" s="455"/>
      <c r="G94" s="455"/>
      <c r="H94" s="455"/>
      <c r="I94" s="455"/>
      <c r="J94" s="455"/>
      <c r="K94" s="226">
        <f>ROUND(K93,2)</f>
        <v>43.64</v>
      </c>
      <c r="M94" s="479"/>
      <c r="N94" s="479"/>
      <c r="O94" s="479"/>
      <c r="P94" s="479"/>
      <c r="Q94" s="479"/>
      <c r="R94" s="479"/>
      <c r="S94" s="479"/>
      <c r="T94" s="479"/>
    </row>
    <row r="95" spans="1:20" ht="17.25" customHeight="1">
      <c r="A95" s="459" t="s">
        <v>733</v>
      </c>
      <c r="B95" s="459"/>
      <c r="C95" s="459"/>
      <c r="D95" s="459"/>
      <c r="E95" s="459"/>
      <c r="F95" s="459"/>
      <c r="G95" s="459"/>
      <c r="H95" s="459"/>
      <c r="I95" s="459"/>
      <c r="J95" s="459"/>
      <c r="K95" s="459"/>
      <c r="M95" s="479"/>
      <c r="N95" s="479"/>
      <c r="O95" s="479"/>
      <c r="P95" s="479"/>
      <c r="Q95" s="479"/>
      <c r="R95" s="479"/>
      <c r="S95" s="479"/>
      <c r="T95" s="479"/>
    </row>
    <row r="96" spans="1:20" ht="17.25" customHeight="1">
      <c r="A96" s="460" t="s">
        <v>735</v>
      </c>
      <c r="B96" s="460"/>
      <c r="C96" s="460"/>
      <c r="D96" s="460"/>
      <c r="E96" s="460"/>
      <c r="F96" s="460"/>
      <c r="G96" s="460"/>
      <c r="H96" s="460"/>
      <c r="I96" s="460"/>
      <c r="J96" s="460"/>
      <c r="K96" s="233">
        <f>K88+K94</f>
        <v>242.32</v>
      </c>
      <c r="M96" s="479"/>
      <c r="N96" s="479"/>
      <c r="O96" s="479"/>
      <c r="P96" s="479"/>
      <c r="Q96" s="479"/>
      <c r="R96" s="479"/>
      <c r="S96" s="479"/>
      <c r="T96" s="479"/>
    </row>
    <row r="97" spans="1:20" ht="17.25" customHeight="1">
      <c r="A97" s="460" t="s">
        <v>736</v>
      </c>
      <c r="B97" s="460"/>
      <c r="C97" s="460"/>
      <c r="D97" s="460"/>
      <c r="E97" s="460"/>
      <c r="F97" s="460"/>
      <c r="G97" s="460"/>
      <c r="H97" s="460"/>
      <c r="I97" s="460"/>
      <c r="J97" s="460"/>
      <c r="K97" s="233">
        <f>K96/10</f>
        <v>24.232</v>
      </c>
      <c r="M97" s="479"/>
      <c r="N97" s="479"/>
      <c r="O97" s="479"/>
      <c r="P97" s="479"/>
      <c r="Q97" s="479"/>
      <c r="R97" s="479"/>
      <c r="S97" s="479"/>
      <c r="T97" s="479"/>
    </row>
    <row r="98" spans="1:20" ht="32.25" customHeight="1">
      <c r="A98" s="451" t="s">
        <v>708</v>
      </c>
      <c r="B98" s="451"/>
      <c r="C98" s="451"/>
      <c r="D98" s="451"/>
      <c r="E98" s="451"/>
      <c r="F98" s="451"/>
      <c r="G98" s="451"/>
      <c r="H98" s="461" t="s">
        <v>709</v>
      </c>
      <c r="I98" s="461"/>
      <c r="J98" s="461"/>
      <c r="K98" s="234" t="s">
        <v>255</v>
      </c>
      <c r="M98" s="479"/>
      <c r="N98" s="479"/>
      <c r="O98" s="479"/>
      <c r="P98" s="479"/>
      <c r="Q98" s="479"/>
      <c r="R98" s="479"/>
      <c r="S98" s="479"/>
      <c r="T98" s="479"/>
    </row>
    <row r="99" spans="1:20" ht="17.25" customHeight="1">
      <c r="A99" s="451"/>
      <c r="B99" s="451"/>
      <c r="C99" s="451"/>
      <c r="D99" s="451"/>
      <c r="E99" s="451"/>
      <c r="F99" s="451"/>
      <c r="G99" s="451"/>
      <c r="H99" s="462">
        <v>0</v>
      </c>
      <c r="I99" s="462"/>
      <c r="J99" s="462"/>
      <c r="K99" s="405">
        <f>ROUND(3*K97*H99,2)</f>
        <v>0</v>
      </c>
      <c r="M99" s="479"/>
      <c r="N99" s="479"/>
      <c r="O99" s="479"/>
      <c r="P99" s="479"/>
      <c r="Q99" s="479"/>
      <c r="R99" s="479"/>
      <c r="S99" s="479"/>
      <c r="T99" s="479"/>
    </row>
    <row r="100" spans="1:20" ht="17.25" customHeight="1">
      <c r="A100" s="455" t="s">
        <v>710</v>
      </c>
      <c r="B100" s="455"/>
      <c r="C100" s="455"/>
      <c r="D100" s="455"/>
      <c r="E100" s="455"/>
      <c r="F100" s="455"/>
      <c r="G100" s="455"/>
      <c r="H100" s="455"/>
      <c r="I100" s="455"/>
      <c r="J100" s="455"/>
      <c r="K100" s="226">
        <f>K99</f>
        <v>0</v>
      </c>
      <c r="M100" s="479"/>
      <c r="N100" s="479"/>
      <c r="O100" s="479"/>
      <c r="P100" s="479"/>
      <c r="Q100" s="479"/>
      <c r="R100" s="479"/>
      <c r="S100" s="479"/>
      <c r="T100" s="479"/>
    </row>
    <row r="101" spans="1:20" ht="17.25" customHeight="1">
      <c r="A101" s="456" t="s">
        <v>43</v>
      </c>
      <c r="B101" s="456"/>
      <c r="C101" s="456"/>
      <c r="D101" s="456"/>
      <c r="E101" s="456"/>
      <c r="F101" s="456"/>
      <c r="G101" s="456"/>
      <c r="H101" s="456"/>
      <c r="I101" s="456"/>
      <c r="J101" s="456"/>
      <c r="K101" s="235">
        <f>K88+K94+K100</f>
        <v>242.32</v>
      </c>
      <c r="M101" s="479"/>
      <c r="N101" s="479"/>
      <c r="O101" s="479"/>
      <c r="P101" s="479"/>
      <c r="Q101" s="479"/>
      <c r="R101" s="479"/>
      <c r="S101" s="479"/>
      <c r="T101" s="479"/>
    </row>
    <row r="102" spans="1:20" ht="11.25" customHeight="1">
      <c r="A102" s="457"/>
      <c r="B102" s="457"/>
      <c r="C102" s="457"/>
      <c r="D102" s="457"/>
      <c r="E102" s="457"/>
      <c r="F102" s="457"/>
      <c r="G102" s="457"/>
      <c r="H102" s="457"/>
      <c r="I102" s="457"/>
      <c r="J102" s="457"/>
      <c r="K102" s="457"/>
      <c r="M102" s="479"/>
      <c r="N102" s="479"/>
      <c r="O102" s="479"/>
      <c r="P102" s="479"/>
      <c r="Q102" s="479"/>
      <c r="R102" s="479"/>
      <c r="S102" s="479"/>
      <c r="T102" s="479"/>
    </row>
    <row r="103" spans="1:20" ht="17.25" customHeight="1">
      <c r="A103" s="458" t="s">
        <v>44</v>
      </c>
      <c r="B103" s="458"/>
      <c r="C103" s="458"/>
      <c r="D103" s="458"/>
      <c r="E103" s="458"/>
      <c r="F103" s="458"/>
      <c r="G103" s="458"/>
      <c r="H103" s="458"/>
      <c r="I103" s="458"/>
      <c r="J103" s="458"/>
      <c r="K103" s="458"/>
      <c r="M103" s="479"/>
      <c r="N103" s="479"/>
      <c r="O103" s="479"/>
      <c r="P103" s="479"/>
      <c r="Q103" s="479"/>
      <c r="R103" s="479"/>
      <c r="S103" s="479"/>
      <c r="T103" s="479"/>
    </row>
    <row r="104" spans="1:20" ht="17.25" customHeight="1">
      <c r="A104" s="455" t="s">
        <v>85</v>
      </c>
      <c r="B104" s="455"/>
      <c r="C104" s="455"/>
      <c r="D104" s="455"/>
      <c r="E104" s="455"/>
      <c r="F104" s="455"/>
      <c r="G104" s="455"/>
      <c r="H104" s="455"/>
      <c r="I104" s="455"/>
      <c r="J104" s="455"/>
      <c r="K104" s="455"/>
      <c r="M104" s="479"/>
      <c r="N104" s="479"/>
      <c r="O104" s="479"/>
      <c r="P104" s="479"/>
      <c r="Q104" s="479"/>
      <c r="R104" s="479"/>
      <c r="S104" s="479"/>
      <c r="T104" s="479"/>
    </row>
    <row r="105" spans="1:20" ht="17.25" customHeight="1">
      <c r="A105" s="455" t="s">
        <v>711</v>
      </c>
      <c r="B105" s="455"/>
      <c r="C105" s="455"/>
      <c r="D105" s="455"/>
      <c r="E105" s="455"/>
      <c r="F105" s="455"/>
      <c r="G105" s="455"/>
      <c r="H105" s="455"/>
      <c r="I105" s="455"/>
      <c r="J105" s="455"/>
      <c r="K105" s="455"/>
      <c r="M105" s="479"/>
      <c r="N105" s="479"/>
      <c r="O105" s="479"/>
      <c r="P105" s="479"/>
      <c r="Q105" s="479"/>
      <c r="R105" s="479"/>
      <c r="S105" s="479"/>
      <c r="T105" s="479"/>
    </row>
    <row r="106" spans="1:20" ht="42" customHeight="1">
      <c r="A106" s="455" t="s">
        <v>712</v>
      </c>
      <c r="B106" s="455"/>
      <c r="C106" s="455"/>
      <c r="D106" s="455"/>
      <c r="E106" s="455"/>
      <c r="F106" s="399" t="s">
        <v>713</v>
      </c>
      <c r="G106" s="236" t="s">
        <v>714</v>
      </c>
      <c r="H106" s="455" t="s">
        <v>715</v>
      </c>
      <c r="I106" s="455"/>
      <c r="J106" s="455"/>
      <c r="K106" s="399" t="s">
        <v>716</v>
      </c>
      <c r="M106" s="479"/>
      <c r="N106" s="479"/>
      <c r="O106" s="479"/>
      <c r="P106" s="479"/>
      <c r="Q106" s="479"/>
      <c r="R106" s="479"/>
      <c r="S106" s="479"/>
      <c r="T106" s="479"/>
    </row>
    <row r="107" spans="1:20" ht="17.25" customHeight="1">
      <c r="A107" s="451" t="s">
        <v>717</v>
      </c>
      <c r="B107" s="451"/>
      <c r="C107" s="451"/>
      <c r="D107" s="451"/>
      <c r="E107" s="451"/>
      <c r="F107" s="244">
        <v>1</v>
      </c>
      <c r="G107" s="401">
        <v>30</v>
      </c>
      <c r="H107" s="452">
        <f>255/365</f>
        <v>0.6986301369863014</v>
      </c>
      <c r="I107" s="452"/>
      <c r="J107" s="452"/>
      <c r="K107" s="237">
        <f>ROUND(F107*G107*H107,4)</f>
        <v>20.9589</v>
      </c>
      <c r="M107" s="479"/>
      <c r="N107" s="479"/>
      <c r="O107" s="479"/>
      <c r="P107" s="479"/>
      <c r="Q107" s="479"/>
      <c r="R107" s="479"/>
      <c r="S107" s="479"/>
      <c r="T107" s="479"/>
    </row>
    <row r="108" spans="1:20" ht="17.25" customHeight="1">
      <c r="A108" s="451" t="s">
        <v>718</v>
      </c>
      <c r="B108" s="451"/>
      <c r="C108" s="451"/>
      <c r="D108" s="451"/>
      <c r="E108" s="451"/>
      <c r="F108" s="244">
        <v>1</v>
      </c>
      <c r="G108" s="401">
        <v>1</v>
      </c>
      <c r="H108" s="452">
        <v>1</v>
      </c>
      <c r="I108" s="452"/>
      <c r="J108" s="452"/>
      <c r="K108" s="237">
        <f aca="true" t="shared" si="0" ref="K108:K118">ROUND(F108*G108*H108,4)</f>
        <v>1</v>
      </c>
      <c r="M108" s="479"/>
      <c r="N108" s="479"/>
      <c r="O108" s="479"/>
      <c r="P108" s="479"/>
      <c r="Q108" s="479"/>
      <c r="R108" s="479"/>
      <c r="S108" s="479"/>
      <c r="T108" s="479"/>
    </row>
    <row r="109" spans="1:20" ht="17.25" customHeight="1">
      <c r="A109" s="451" t="s">
        <v>719</v>
      </c>
      <c r="B109" s="451"/>
      <c r="C109" s="451"/>
      <c r="D109" s="451"/>
      <c r="E109" s="451"/>
      <c r="F109" s="244">
        <v>0.0922</v>
      </c>
      <c r="G109" s="401">
        <v>15</v>
      </c>
      <c r="H109" s="452">
        <f>255/365</f>
        <v>0.6986301369863014</v>
      </c>
      <c r="I109" s="452"/>
      <c r="J109" s="452"/>
      <c r="K109" s="237">
        <f t="shared" si="0"/>
        <v>0.9662</v>
      </c>
      <c r="M109" s="479"/>
      <c r="N109" s="479"/>
      <c r="O109" s="479"/>
      <c r="P109" s="479"/>
      <c r="Q109" s="479"/>
      <c r="R109" s="479"/>
      <c r="S109" s="479"/>
      <c r="T109" s="479"/>
    </row>
    <row r="110" spans="1:20" ht="17.25" customHeight="1">
      <c r="A110" s="451" t="s">
        <v>720</v>
      </c>
      <c r="B110" s="451"/>
      <c r="C110" s="451"/>
      <c r="D110" s="451"/>
      <c r="E110" s="451"/>
      <c r="F110" s="244">
        <v>1</v>
      </c>
      <c r="G110" s="401">
        <v>5</v>
      </c>
      <c r="H110" s="452">
        <f>255/365</f>
        <v>0.6986301369863014</v>
      </c>
      <c r="I110" s="452"/>
      <c r="J110" s="452"/>
      <c r="K110" s="237">
        <f t="shared" si="0"/>
        <v>3.4932</v>
      </c>
      <c r="M110" s="479"/>
      <c r="N110" s="479"/>
      <c r="O110" s="479"/>
      <c r="P110" s="479"/>
      <c r="Q110" s="479"/>
      <c r="R110" s="479"/>
      <c r="S110" s="479"/>
      <c r="T110" s="479"/>
    </row>
    <row r="111" spans="1:20" ht="17.25" customHeight="1">
      <c r="A111" s="451" t="s">
        <v>721</v>
      </c>
      <c r="B111" s="451"/>
      <c r="C111" s="451"/>
      <c r="D111" s="451"/>
      <c r="E111" s="451"/>
      <c r="F111" s="244">
        <v>0.1344</v>
      </c>
      <c r="G111" s="401">
        <v>2</v>
      </c>
      <c r="H111" s="452">
        <v>1</v>
      </c>
      <c r="I111" s="452"/>
      <c r="J111" s="452"/>
      <c r="K111" s="237">
        <f t="shared" si="0"/>
        <v>0.2688</v>
      </c>
      <c r="M111" s="479"/>
      <c r="N111" s="479"/>
      <c r="O111" s="479"/>
      <c r="P111" s="479"/>
      <c r="Q111" s="479"/>
      <c r="R111" s="479"/>
      <c r="S111" s="479"/>
      <c r="T111" s="479"/>
    </row>
    <row r="112" spans="1:20" ht="17.25" customHeight="1">
      <c r="A112" s="451" t="s">
        <v>722</v>
      </c>
      <c r="B112" s="451"/>
      <c r="C112" s="451"/>
      <c r="D112" s="451"/>
      <c r="E112" s="451"/>
      <c r="F112" s="244">
        <v>0.0305</v>
      </c>
      <c r="G112" s="401">
        <v>2</v>
      </c>
      <c r="H112" s="452">
        <f>255/365</f>
        <v>0.6986301369863014</v>
      </c>
      <c r="I112" s="452"/>
      <c r="J112" s="452"/>
      <c r="K112" s="237">
        <f t="shared" si="0"/>
        <v>0.0426</v>
      </c>
      <c r="M112" s="479"/>
      <c r="N112" s="479"/>
      <c r="O112" s="479"/>
      <c r="P112" s="479"/>
      <c r="Q112" s="479"/>
      <c r="R112" s="479"/>
      <c r="S112" s="479"/>
      <c r="T112" s="479"/>
    </row>
    <row r="113" spans="1:20" ht="17.25" customHeight="1">
      <c r="A113" s="451" t="s">
        <v>723</v>
      </c>
      <c r="B113" s="451"/>
      <c r="C113" s="451"/>
      <c r="D113" s="451"/>
      <c r="E113" s="451"/>
      <c r="F113" s="244">
        <v>0.0118</v>
      </c>
      <c r="G113" s="401">
        <v>3</v>
      </c>
      <c r="H113" s="452">
        <v>1</v>
      </c>
      <c r="I113" s="452"/>
      <c r="J113" s="452"/>
      <c r="K113" s="237">
        <f t="shared" si="0"/>
        <v>0.0354</v>
      </c>
      <c r="M113" s="479"/>
      <c r="N113" s="479"/>
      <c r="O113" s="479"/>
      <c r="P113" s="479"/>
      <c r="Q113" s="479"/>
      <c r="R113" s="479"/>
      <c r="S113" s="479"/>
      <c r="T113" s="479"/>
    </row>
    <row r="114" spans="1:20" ht="17.25" customHeight="1">
      <c r="A114" s="451" t="s">
        <v>724</v>
      </c>
      <c r="B114" s="451"/>
      <c r="C114" s="451"/>
      <c r="D114" s="451"/>
      <c r="E114" s="451"/>
      <c r="F114" s="244">
        <v>0.02</v>
      </c>
      <c r="G114" s="401">
        <v>1</v>
      </c>
      <c r="H114" s="452">
        <v>1</v>
      </c>
      <c r="I114" s="452"/>
      <c r="J114" s="452"/>
      <c r="K114" s="237">
        <f t="shared" si="0"/>
        <v>0.02</v>
      </c>
      <c r="M114" s="479"/>
      <c r="N114" s="479"/>
      <c r="O114" s="479"/>
      <c r="P114" s="479"/>
      <c r="Q114" s="479"/>
      <c r="R114" s="479"/>
      <c r="S114" s="479"/>
      <c r="T114" s="479"/>
    </row>
    <row r="115" spans="1:20" ht="17.25" customHeight="1">
      <c r="A115" s="451" t="s">
        <v>725</v>
      </c>
      <c r="B115" s="451"/>
      <c r="C115" s="451"/>
      <c r="D115" s="451"/>
      <c r="E115" s="451"/>
      <c r="F115" s="244">
        <v>0.004</v>
      </c>
      <c r="G115" s="401">
        <v>1</v>
      </c>
      <c r="H115" s="452">
        <v>1</v>
      </c>
      <c r="I115" s="452"/>
      <c r="J115" s="452"/>
      <c r="K115" s="237">
        <f t="shared" si="0"/>
        <v>0.004</v>
      </c>
      <c r="M115" s="479"/>
      <c r="N115" s="479"/>
      <c r="O115" s="479"/>
      <c r="P115" s="479"/>
      <c r="Q115" s="479"/>
      <c r="R115" s="479"/>
      <c r="S115" s="479"/>
      <c r="T115" s="479"/>
    </row>
    <row r="116" spans="1:20" ht="17.25" customHeight="1">
      <c r="A116" s="451" t="s">
        <v>726</v>
      </c>
      <c r="B116" s="451"/>
      <c r="C116" s="451"/>
      <c r="D116" s="451"/>
      <c r="E116" s="451"/>
      <c r="F116" s="244">
        <v>0.0143</v>
      </c>
      <c r="G116" s="401">
        <v>20</v>
      </c>
      <c r="H116" s="452">
        <f>255/365</f>
        <v>0.6986301369863014</v>
      </c>
      <c r="I116" s="452"/>
      <c r="J116" s="452"/>
      <c r="K116" s="237">
        <f t="shared" si="0"/>
        <v>0.1998</v>
      </c>
      <c r="M116" s="479"/>
      <c r="N116" s="479"/>
      <c r="O116" s="479"/>
      <c r="P116" s="479"/>
      <c r="Q116" s="479"/>
      <c r="R116" s="479"/>
      <c r="S116" s="479"/>
      <c r="T116" s="479"/>
    </row>
    <row r="117" spans="1:20" ht="17.25" customHeight="1">
      <c r="A117" s="451" t="s">
        <v>727</v>
      </c>
      <c r="B117" s="451"/>
      <c r="C117" s="451"/>
      <c r="D117" s="451"/>
      <c r="E117" s="451"/>
      <c r="F117" s="244">
        <v>0.0197</v>
      </c>
      <c r="G117" s="401">
        <v>180</v>
      </c>
      <c r="H117" s="452">
        <f>255/365</f>
        <v>0.6986301369863014</v>
      </c>
      <c r="I117" s="452"/>
      <c r="J117" s="452"/>
      <c r="K117" s="237">
        <f t="shared" si="0"/>
        <v>2.4773</v>
      </c>
      <c r="M117" s="479"/>
      <c r="N117" s="479"/>
      <c r="O117" s="479"/>
      <c r="P117" s="479"/>
      <c r="Q117" s="479"/>
      <c r="R117" s="479"/>
      <c r="S117" s="479"/>
      <c r="T117" s="479"/>
    </row>
    <row r="118" spans="1:20" ht="17.25" customHeight="1">
      <c r="A118" s="451" t="s">
        <v>728</v>
      </c>
      <c r="B118" s="451"/>
      <c r="C118" s="451"/>
      <c r="D118" s="451"/>
      <c r="E118" s="451"/>
      <c r="F118" s="244">
        <v>0.0016</v>
      </c>
      <c r="G118" s="401">
        <v>6</v>
      </c>
      <c r="H118" s="452">
        <v>1</v>
      </c>
      <c r="I118" s="452"/>
      <c r="J118" s="452"/>
      <c r="K118" s="237">
        <f t="shared" si="0"/>
        <v>0.0096</v>
      </c>
      <c r="M118" s="479"/>
      <c r="N118" s="479"/>
      <c r="O118" s="479"/>
      <c r="P118" s="479"/>
      <c r="Q118" s="479"/>
      <c r="R118" s="479"/>
      <c r="S118" s="479"/>
      <c r="T118" s="479"/>
    </row>
    <row r="119" spans="1:20" ht="17.25" customHeight="1">
      <c r="A119" s="454" t="s">
        <v>729</v>
      </c>
      <c r="B119" s="454"/>
      <c r="C119" s="454"/>
      <c r="D119" s="454"/>
      <c r="E119" s="454"/>
      <c r="F119" s="454"/>
      <c r="G119" s="454"/>
      <c r="H119" s="454"/>
      <c r="I119" s="454"/>
      <c r="J119" s="454"/>
      <c r="K119" s="238">
        <f>ROUND(SUM(K107:K118),0)</f>
        <v>29</v>
      </c>
      <c r="M119" s="479"/>
      <c r="N119" s="479"/>
      <c r="O119" s="479"/>
      <c r="P119" s="479"/>
      <c r="Q119" s="479"/>
      <c r="R119" s="479"/>
      <c r="S119" s="479"/>
      <c r="T119" s="479"/>
    </row>
    <row r="120" spans="1:20" ht="17.25" customHeight="1">
      <c r="A120" s="453" t="s">
        <v>68</v>
      </c>
      <c r="B120" s="453"/>
      <c r="C120" s="453"/>
      <c r="D120" s="453"/>
      <c r="E120" s="453"/>
      <c r="F120" s="453"/>
      <c r="G120" s="453"/>
      <c r="H120" s="453"/>
      <c r="I120" s="453"/>
      <c r="J120" s="453"/>
      <c r="K120" s="233">
        <f>K35</f>
        <v>2283.36</v>
      </c>
      <c r="M120" s="479"/>
      <c r="N120" s="479"/>
      <c r="O120" s="479"/>
      <c r="P120" s="479"/>
      <c r="Q120" s="479"/>
      <c r="R120" s="479"/>
      <c r="S120" s="479"/>
      <c r="T120" s="479"/>
    </row>
    <row r="121" spans="1:20" ht="17.25" customHeight="1">
      <c r="A121" s="453" t="s">
        <v>69</v>
      </c>
      <c r="B121" s="453"/>
      <c r="C121" s="453"/>
      <c r="D121" s="453"/>
      <c r="E121" s="453"/>
      <c r="F121" s="453"/>
      <c r="G121" s="453"/>
      <c r="H121" s="453"/>
      <c r="I121" s="453"/>
      <c r="J121" s="453"/>
      <c r="K121" s="233">
        <f>K74</f>
        <v>2223.1</v>
      </c>
      <c r="M121" s="479"/>
      <c r="N121" s="479"/>
      <c r="O121" s="479"/>
      <c r="P121" s="479"/>
      <c r="Q121" s="479"/>
      <c r="R121" s="479"/>
      <c r="S121" s="479"/>
      <c r="T121" s="479"/>
    </row>
    <row r="122" spans="1:20" ht="17.25" customHeight="1">
      <c r="A122" s="453" t="s">
        <v>70</v>
      </c>
      <c r="B122" s="453"/>
      <c r="C122" s="453"/>
      <c r="D122" s="453"/>
      <c r="E122" s="453"/>
      <c r="F122" s="453"/>
      <c r="G122" s="453"/>
      <c r="H122" s="453"/>
      <c r="I122" s="453"/>
      <c r="J122" s="453"/>
      <c r="K122" s="233">
        <f>K101</f>
        <v>242.32</v>
      </c>
      <c r="M122" s="479"/>
      <c r="N122" s="479"/>
      <c r="O122" s="479"/>
      <c r="P122" s="479"/>
      <c r="Q122" s="479"/>
      <c r="R122" s="479"/>
      <c r="S122" s="479"/>
      <c r="T122" s="479"/>
    </row>
    <row r="123" spans="1:20" ht="17.25" customHeight="1">
      <c r="A123" s="453" t="s">
        <v>261</v>
      </c>
      <c r="B123" s="453"/>
      <c r="C123" s="453"/>
      <c r="D123" s="453"/>
      <c r="E123" s="453"/>
      <c r="F123" s="453"/>
      <c r="G123" s="453"/>
      <c r="H123" s="453"/>
      <c r="I123" s="453"/>
      <c r="J123" s="453"/>
      <c r="K123" s="233">
        <f>K120+K121+K122</f>
        <v>4748.78</v>
      </c>
      <c r="M123" s="479"/>
      <c r="N123" s="479"/>
      <c r="O123" s="479"/>
      <c r="P123" s="479"/>
      <c r="Q123" s="479"/>
      <c r="R123" s="479"/>
      <c r="S123" s="479"/>
      <c r="T123" s="479"/>
    </row>
    <row r="124" spans="1:20" ht="17.25" customHeight="1">
      <c r="A124" s="453" t="s">
        <v>730</v>
      </c>
      <c r="B124" s="453"/>
      <c r="C124" s="453"/>
      <c r="D124" s="453"/>
      <c r="E124" s="453"/>
      <c r="F124" s="453"/>
      <c r="G124" s="453"/>
      <c r="H124" s="453"/>
      <c r="I124" s="453"/>
      <c r="J124" s="453"/>
      <c r="K124" s="239">
        <f>ROUND(K123/30,2)</f>
        <v>158.29</v>
      </c>
      <c r="M124" s="479"/>
      <c r="N124" s="479"/>
      <c r="O124" s="479"/>
      <c r="P124" s="479"/>
      <c r="Q124" s="479"/>
      <c r="R124" s="479"/>
      <c r="S124" s="479"/>
      <c r="T124" s="479"/>
    </row>
    <row r="125" spans="1:20" ht="17.25" customHeight="1">
      <c r="A125" s="453" t="s">
        <v>731</v>
      </c>
      <c r="B125" s="453"/>
      <c r="C125" s="453"/>
      <c r="D125" s="453"/>
      <c r="E125" s="453"/>
      <c r="F125" s="453"/>
      <c r="G125" s="453"/>
      <c r="H125" s="453"/>
      <c r="I125" s="453"/>
      <c r="J125" s="453"/>
      <c r="K125" s="239">
        <f>ROUND(K124*K119,2)</f>
        <v>4590.41</v>
      </c>
      <c r="M125" s="479"/>
      <c r="N125" s="479"/>
      <c r="O125" s="479"/>
      <c r="P125" s="479"/>
      <c r="Q125" s="479"/>
      <c r="R125" s="479"/>
      <c r="S125" s="479"/>
      <c r="T125" s="479"/>
    </row>
    <row r="126" spans="1:20" ht="17.25" customHeight="1">
      <c r="A126" s="453" t="s">
        <v>732</v>
      </c>
      <c r="B126" s="453"/>
      <c r="C126" s="453"/>
      <c r="D126" s="453"/>
      <c r="E126" s="453"/>
      <c r="F126" s="453"/>
      <c r="G126" s="453"/>
      <c r="H126" s="453"/>
      <c r="I126" s="453"/>
      <c r="J126" s="453"/>
      <c r="K126" s="239">
        <f>ROUND(K125/12,2)</f>
        <v>382.53</v>
      </c>
      <c r="M126" s="479"/>
      <c r="N126" s="479"/>
      <c r="O126" s="479"/>
      <c r="P126" s="479"/>
      <c r="Q126" s="479"/>
      <c r="R126" s="479"/>
      <c r="S126" s="479"/>
      <c r="T126" s="479"/>
    </row>
    <row r="127" spans="1:20" ht="17.25" customHeight="1">
      <c r="A127" s="455" t="s">
        <v>49</v>
      </c>
      <c r="B127" s="455"/>
      <c r="C127" s="455"/>
      <c r="D127" s="455"/>
      <c r="E127" s="455"/>
      <c r="F127" s="455"/>
      <c r="G127" s="455"/>
      <c r="H127" s="455"/>
      <c r="I127" s="455"/>
      <c r="J127" s="455"/>
      <c r="K127" s="226">
        <f>K126</f>
        <v>382.53</v>
      </c>
      <c r="M127" s="479"/>
      <c r="N127" s="479"/>
      <c r="O127" s="479"/>
      <c r="P127" s="479"/>
      <c r="Q127" s="479"/>
      <c r="R127" s="479"/>
      <c r="S127" s="479"/>
      <c r="T127" s="479"/>
    </row>
    <row r="128" spans="1:20" s="119" customFormat="1" ht="5.25" customHeight="1">
      <c r="A128" s="482"/>
      <c r="B128" s="482"/>
      <c r="C128" s="482"/>
      <c r="D128" s="482"/>
      <c r="E128" s="482"/>
      <c r="F128" s="482"/>
      <c r="G128" s="482"/>
      <c r="H128" s="482"/>
      <c r="I128" s="482"/>
      <c r="J128" s="482"/>
      <c r="K128" s="482"/>
      <c r="M128" s="116"/>
      <c r="N128" s="116"/>
      <c r="O128" s="116"/>
      <c r="P128" s="116"/>
      <c r="Q128" s="116"/>
      <c r="R128" s="116"/>
      <c r="S128" s="116"/>
      <c r="T128" s="116"/>
    </row>
    <row r="129" spans="1:11" ht="17.25" customHeight="1">
      <c r="A129" s="463" t="s">
        <v>92</v>
      </c>
      <c r="B129" s="463"/>
      <c r="C129" s="463"/>
      <c r="D129" s="463"/>
      <c r="E129" s="463"/>
      <c r="F129" s="463"/>
      <c r="G129" s="463"/>
      <c r="H129" s="463"/>
      <c r="I129" s="463"/>
      <c r="J129" s="463"/>
      <c r="K129" s="463"/>
    </row>
    <row r="130" spans="1:11" ht="17.25" customHeight="1">
      <c r="A130" s="480"/>
      <c r="B130" s="480"/>
      <c r="C130" s="480"/>
      <c r="D130" s="480"/>
      <c r="E130" s="480"/>
      <c r="F130" s="480"/>
      <c r="G130" s="480"/>
      <c r="H130" s="480"/>
      <c r="I130" s="480"/>
      <c r="J130" s="480"/>
      <c r="K130" s="398" t="s">
        <v>20</v>
      </c>
    </row>
    <row r="131" spans="1:11" ht="17.25" customHeight="1">
      <c r="A131" s="401" t="s">
        <v>1</v>
      </c>
      <c r="B131" s="465" t="s">
        <v>93</v>
      </c>
      <c r="C131" s="465"/>
      <c r="D131" s="465"/>
      <c r="E131" s="465"/>
      <c r="F131" s="465"/>
      <c r="G131" s="465"/>
      <c r="H131" s="465"/>
      <c r="I131" s="465"/>
      <c r="J131" s="465"/>
      <c r="K131" s="405">
        <v>0</v>
      </c>
    </row>
    <row r="132" spans="1:11" ht="17.25" customHeight="1">
      <c r="A132" s="455" t="s">
        <v>50</v>
      </c>
      <c r="B132" s="455"/>
      <c r="C132" s="455"/>
      <c r="D132" s="455"/>
      <c r="E132" s="455"/>
      <c r="F132" s="455"/>
      <c r="G132" s="455"/>
      <c r="H132" s="455"/>
      <c r="I132" s="455"/>
      <c r="J132" s="455"/>
      <c r="K132" s="226">
        <f>K131</f>
        <v>0</v>
      </c>
    </row>
    <row r="133" spans="1:11" ht="5.25" customHeight="1">
      <c r="A133" s="476"/>
      <c r="B133" s="476"/>
      <c r="C133" s="476"/>
      <c r="D133" s="476"/>
      <c r="E133" s="476"/>
      <c r="F133" s="476"/>
      <c r="G133" s="476"/>
      <c r="H133" s="476"/>
      <c r="I133" s="476"/>
      <c r="J133" s="476"/>
      <c r="K133" s="476"/>
    </row>
    <row r="134" spans="1:11" ht="17.25" customHeight="1">
      <c r="A134" s="458" t="s">
        <v>51</v>
      </c>
      <c r="B134" s="458"/>
      <c r="C134" s="458"/>
      <c r="D134" s="458"/>
      <c r="E134" s="458"/>
      <c r="F134" s="458"/>
      <c r="G134" s="458"/>
      <c r="H134" s="458"/>
      <c r="I134" s="458"/>
      <c r="J134" s="458"/>
      <c r="K134" s="224">
        <f>SUM(K127,K132)</f>
        <v>382.53</v>
      </c>
    </row>
    <row r="135" spans="1:11" ht="6.75" customHeight="1">
      <c r="A135" s="457"/>
      <c r="B135" s="457"/>
      <c r="C135" s="457"/>
      <c r="D135" s="457"/>
      <c r="E135" s="457"/>
      <c r="F135" s="457"/>
      <c r="G135" s="457"/>
      <c r="H135" s="457"/>
      <c r="I135" s="457"/>
      <c r="J135" s="457"/>
      <c r="K135" s="457"/>
    </row>
    <row r="136" spans="1:11" ht="17.25" customHeight="1">
      <c r="A136" s="458" t="s">
        <v>52</v>
      </c>
      <c r="B136" s="458"/>
      <c r="C136" s="458"/>
      <c r="D136" s="458"/>
      <c r="E136" s="458"/>
      <c r="F136" s="458"/>
      <c r="G136" s="458"/>
      <c r="H136" s="458"/>
      <c r="I136" s="458"/>
      <c r="J136" s="458"/>
      <c r="K136" s="458"/>
    </row>
    <row r="137" spans="1:11" ht="17.25" customHeight="1">
      <c r="A137" s="401" t="s">
        <v>1</v>
      </c>
      <c r="B137" s="465" t="s">
        <v>188</v>
      </c>
      <c r="C137" s="465"/>
      <c r="D137" s="465"/>
      <c r="E137" s="465"/>
      <c r="F137" s="465"/>
      <c r="G137" s="465"/>
      <c r="H137" s="465"/>
      <c r="I137" s="465"/>
      <c r="J137" s="465"/>
      <c r="K137" s="402">
        <f>Uniformes!H12</f>
        <v>142.65166666666667</v>
      </c>
    </row>
    <row r="138" spans="1:11" ht="17.25" customHeight="1">
      <c r="A138" s="401" t="s">
        <v>3</v>
      </c>
      <c r="B138" s="465" t="s">
        <v>310</v>
      </c>
      <c r="C138" s="465"/>
      <c r="D138" s="465"/>
      <c r="E138" s="465"/>
      <c r="F138" s="465"/>
      <c r="G138" s="465"/>
      <c r="H138" s="465"/>
      <c r="I138" s="465"/>
      <c r="J138" s="465"/>
      <c r="K138" s="402">
        <f>'EPI''s'!I24</f>
        <v>209.51166666666666</v>
      </c>
    </row>
    <row r="139" spans="1:11" ht="17.25" customHeight="1">
      <c r="A139" s="401" t="s">
        <v>5</v>
      </c>
      <c r="B139" s="465" t="s">
        <v>575</v>
      </c>
      <c r="C139" s="465"/>
      <c r="D139" s="465"/>
      <c r="E139" s="465"/>
      <c r="F139" s="465"/>
      <c r="G139" s="465"/>
      <c r="H139" s="465"/>
      <c r="I139" s="465"/>
      <c r="J139" s="465"/>
      <c r="K139" s="402">
        <f>Insumos!H68</f>
        <v>250.48077777777772</v>
      </c>
    </row>
    <row r="140" spans="1:11" ht="17.25" customHeight="1">
      <c r="A140" s="401" t="s">
        <v>6</v>
      </c>
      <c r="B140" s="465" t="s">
        <v>576</v>
      </c>
      <c r="C140" s="465"/>
      <c r="D140" s="465"/>
      <c r="E140" s="465"/>
      <c r="F140" s="465"/>
      <c r="G140" s="465"/>
      <c r="H140" s="465"/>
      <c r="I140" s="465"/>
      <c r="J140" s="465"/>
      <c r="K140" s="402">
        <f>Ferramentas!H150</f>
        <v>523.7745555555554</v>
      </c>
    </row>
    <row r="141" spans="1:11" ht="17.25" customHeight="1">
      <c r="A141" s="401" t="s">
        <v>8</v>
      </c>
      <c r="B141" s="465" t="s">
        <v>577</v>
      </c>
      <c r="C141" s="465"/>
      <c r="D141" s="465"/>
      <c r="E141" s="465"/>
      <c r="F141" s="465"/>
      <c r="G141" s="465"/>
      <c r="H141" s="465"/>
      <c r="I141" s="465"/>
      <c r="J141" s="465"/>
      <c r="K141" s="402">
        <f>Equipamentos!I26</f>
        <v>166.34</v>
      </c>
    </row>
    <row r="142" spans="1:11" ht="17.25" customHeight="1">
      <c r="A142" s="401" t="s">
        <v>10</v>
      </c>
      <c r="B142" s="491"/>
      <c r="C142" s="491"/>
      <c r="D142" s="491"/>
      <c r="E142" s="491"/>
      <c r="F142" s="491"/>
      <c r="G142" s="491"/>
      <c r="H142" s="491"/>
      <c r="I142" s="491"/>
      <c r="J142" s="491"/>
      <c r="K142" s="402">
        <f>'Item 1.1'!K142</f>
        <v>0</v>
      </c>
    </row>
    <row r="143" spans="1:11" ht="17.25" customHeight="1">
      <c r="A143" s="458" t="s">
        <v>53</v>
      </c>
      <c r="B143" s="458"/>
      <c r="C143" s="458"/>
      <c r="D143" s="458"/>
      <c r="E143" s="458"/>
      <c r="F143" s="458"/>
      <c r="G143" s="458"/>
      <c r="H143" s="458"/>
      <c r="I143" s="458"/>
      <c r="J143" s="458"/>
      <c r="K143" s="228">
        <f>SUM(K137:K142)</f>
        <v>1292.7586666666664</v>
      </c>
    </row>
    <row r="144" spans="1:20" s="121" customFormat="1" ht="17.25" customHeight="1">
      <c r="A144" s="490"/>
      <c r="B144" s="490"/>
      <c r="C144" s="490"/>
      <c r="D144" s="490"/>
      <c r="E144" s="490"/>
      <c r="F144" s="490"/>
      <c r="G144" s="490"/>
      <c r="H144" s="490"/>
      <c r="I144" s="490"/>
      <c r="J144" s="490"/>
      <c r="K144" s="490"/>
      <c r="M144" s="116"/>
      <c r="N144" s="116"/>
      <c r="O144" s="116"/>
      <c r="P144" s="116"/>
      <c r="Q144" s="116"/>
      <c r="R144" s="116"/>
      <c r="S144" s="116"/>
      <c r="T144" s="116"/>
    </row>
    <row r="145" spans="1:13" ht="17.25" customHeight="1">
      <c r="A145" s="458" t="s">
        <v>94</v>
      </c>
      <c r="B145" s="458"/>
      <c r="C145" s="458"/>
      <c r="D145" s="458"/>
      <c r="E145" s="458"/>
      <c r="F145" s="458"/>
      <c r="G145" s="458"/>
      <c r="H145" s="458"/>
      <c r="I145" s="458"/>
      <c r="J145" s="458"/>
      <c r="K145" s="224">
        <f>SUM(K35,K74,K101,K134,K143)</f>
        <v>6424.068666666666</v>
      </c>
      <c r="M145" s="122"/>
    </row>
    <row r="146" spans="1:20" s="121" customFormat="1" ht="17.25" customHeight="1">
      <c r="A146" s="490"/>
      <c r="B146" s="490"/>
      <c r="C146" s="490"/>
      <c r="D146" s="490"/>
      <c r="E146" s="490"/>
      <c r="F146" s="490"/>
      <c r="G146" s="490"/>
      <c r="H146" s="490"/>
      <c r="I146" s="490"/>
      <c r="J146" s="490"/>
      <c r="K146" s="490"/>
      <c r="M146" s="116"/>
      <c r="N146" s="116"/>
      <c r="O146" s="116"/>
      <c r="P146" s="116"/>
      <c r="Q146" s="116"/>
      <c r="R146" s="116"/>
      <c r="S146" s="116"/>
      <c r="T146" s="116"/>
    </row>
    <row r="147" spans="1:11" ht="6.75" customHeight="1">
      <c r="A147" s="457"/>
      <c r="B147" s="457"/>
      <c r="C147" s="457"/>
      <c r="D147" s="457"/>
      <c r="E147" s="457"/>
      <c r="F147" s="457"/>
      <c r="G147" s="457"/>
      <c r="H147" s="457"/>
      <c r="I147" s="457"/>
      <c r="J147" s="457"/>
      <c r="K147" s="457"/>
    </row>
    <row r="148" spans="1:11" ht="17.25" customHeight="1">
      <c r="A148" s="458" t="s">
        <v>54</v>
      </c>
      <c r="B148" s="458"/>
      <c r="C148" s="458"/>
      <c r="D148" s="458"/>
      <c r="E148" s="458"/>
      <c r="F148" s="458"/>
      <c r="G148" s="458"/>
      <c r="H148" s="458"/>
      <c r="I148" s="458"/>
      <c r="J148" s="458"/>
      <c r="K148" s="458"/>
    </row>
    <row r="149" spans="1:11" ht="17.25" customHeight="1">
      <c r="A149" s="480"/>
      <c r="B149" s="480"/>
      <c r="C149" s="480"/>
      <c r="D149" s="480"/>
      <c r="E149" s="480"/>
      <c r="F149" s="480"/>
      <c r="G149" s="458" t="s">
        <v>25</v>
      </c>
      <c r="H149" s="458"/>
      <c r="I149" s="481" t="s">
        <v>55</v>
      </c>
      <c r="J149" s="481"/>
      <c r="K149" s="398" t="s">
        <v>20</v>
      </c>
    </row>
    <row r="150" spans="1:20" ht="17.25" customHeight="1">
      <c r="A150" s="401" t="s">
        <v>1</v>
      </c>
      <c r="B150" s="465" t="s">
        <v>56</v>
      </c>
      <c r="C150" s="465"/>
      <c r="D150" s="465"/>
      <c r="E150" s="465"/>
      <c r="F150" s="465"/>
      <c r="G150" s="478">
        <f>'Item 1.1'!G150:H150</f>
        <v>0.06</v>
      </c>
      <c r="H150" s="478"/>
      <c r="I150" s="471">
        <f>K145</f>
        <v>6424.068666666666</v>
      </c>
      <c r="J150" s="471"/>
      <c r="K150" s="405">
        <f>ROUND(I150*G150,2)</f>
        <v>385.44</v>
      </c>
      <c r="M150" s="479"/>
      <c r="N150" s="479"/>
      <c r="O150" s="479"/>
      <c r="P150" s="479"/>
      <c r="Q150" s="479"/>
      <c r="R150" s="479"/>
      <c r="S150" s="479"/>
      <c r="T150" s="479"/>
    </row>
    <row r="151" spans="1:20" ht="17.25" customHeight="1">
      <c r="A151" s="401" t="s">
        <v>3</v>
      </c>
      <c r="B151" s="465" t="s">
        <v>57</v>
      </c>
      <c r="C151" s="465"/>
      <c r="D151" s="465"/>
      <c r="E151" s="465"/>
      <c r="F151" s="465"/>
      <c r="G151" s="478">
        <f>'Item 1.1'!G151:H151</f>
        <v>0.072</v>
      </c>
      <c r="H151" s="478"/>
      <c r="I151" s="471">
        <f>I150+K150</f>
        <v>6809.508666666666</v>
      </c>
      <c r="J151" s="471"/>
      <c r="K151" s="405">
        <f>ROUND(I151*G151,2)</f>
        <v>490.28</v>
      </c>
      <c r="M151" s="479"/>
      <c r="N151" s="479"/>
      <c r="O151" s="479"/>
      <c r="P151" s="479"/>
      <c r="Q151" s="479"/>
      <c r="R151" s="479"/>
      <c r="S151" s="479"/>
      <c r="T151" s="479"/>
    </row>
    <row r="152" spans="1:20" ht="17.25" customHeight="1">
      <c r="A152" s="451" t="s">
        <v>5</v>
      </c>
      <c r="B152" s="451" t="s">
        <v>58</v>
      </c>
      <c r="C152" s="451"/>
      <c r="D152" s="451" t="s">
        <v>59</v>
      </c>
      <c r="E152" s="451"/>
      <c r="F152" s="401" t="s">
        <v>60</v>
      </c>
      <c r="G152" s="478">
        <v>0.0065</v>
      </c>
      <c r="H152" s="478"/>
      <c r="I152" s="471">
        <f>I151+K151</f>
        <v>7299.788666666665</v>
      </c>
      <c r="J152" s="471"/>
      <c r="K152" s="405">
        <f>ROUND(($I$152/(1-$G$159)*G152),2)</f>
        <v>51.94</v>
      </c>
      <c r="M152" s="470" t="s">
        <v>116</v>
      </c>
      <c r="N152" s="470"/>
      <c r="O152" s="470"/>
      <c r="P152" s="470"/>
      <c r="Q152" s="470"/>
      <c r="R152" s="470"/>
      <c r="S152" s="470"/>
      <c r="T152" s="470"/>
    </row>
    <row r="153" spans="1:20" ht="17.25" customHeight="1">
      <c r="A153" s="451"/>
      <c r="B153" s="451"/>
      <c r="C153" s="451"/>
      <c r="D153" s="451"/>
      <c r="E153" s="451"/>
      <c r="F153" s="401" t="s">
        <v>61</v>
      </c>
      <c r="G153" s="478">
        <v>0.03</v>
      </c>
      <c r="H153" s="478"/>
      <c r="I153" s="471"/>
      <c r="J153" s="471"/>
      <c r="K153" s="405">
        <f>ROUND(($I$152/(1-$G$159)*G153),2)</f>
        <v>239.73</v>
      </c>
      <c r="M153" s="467" t="s">
        <v>117</v>
      </c>
      <c r="N153" s="468"/>
      <c r="O153" s="468"/>
      <c r="P153" s="468"/>
      <c r="Q153" s="468"/>
      <c r="R153" s="468"/>
      <c r="S153" s="468"/>
      <c r="T153" s="469"/>
    </row>
    <row r="154" spans="1:20" ht="17.25" customHeight="1">
      <c r="A154" s="451"/>
      <c r="B154" s="451"/>
      <c r="C154" s="451"/>
      <c r="D154" s="451"/>
      <c r="E154" s="451"/>
      <c r="F154" s="409" t="s">
        <v>62</v>
      </c>
      <c r="G154" s="478">
        <f>'Item 1.1'!G154:H154</f>
        <v>0</v>
      </c>
      <c r="H154" s="478"/>
      <c r="I154" s="471"/>
      <c r="J154" s="471"/>
      <c r="K154" s="405">
        <f>ROUND(($I$152/(1-$G$159)*G154),2)</f>
        <v>0</v>
      </c>
      <c r="M154" s="467" t="s">
        <v>184</v>
      </c>
      <c r="N154" s="468"/>
      <c r="O154" s="468"/>
      <c r="P154" s="468"/>
      <c r="Q154" s="468"/>
      <c r="R154" s="468"/>
      <c r="S154" s="468"/>
      <c r="T154" s="469"/>
    </row>
    <row r="155" spans="1:11" ht="17.25" customHeight="1">
      <c r="A155" s="451"/>
      <c r="B155" s="451"/>
      <c r="C155" s="451"/>
      <c r="D155" s="451" t="s">
        <v>63</v>
      </c>
      <c r="E155" s="451"/>
      <c r="F155" s="401" t="s">
        <v>64</v>
      </c>
      <c r="G155" s="464">
        <v>0.05</v>
      </c>
      <c r="H155" s="464"/>
      <c r="I155" s="471"/>
      <c r="J155" s="471"/>
      <c r="K155" s="471">
        <f>ROUND(($I$152/(1-$G$159)*G155),2)</f>
        <v>399.55</v>
      </c>
    </row>
    <row r="156" spans="1:11" ht="17.25" customHeight="1">
      <c r="A156" s="451"/>
      <c r="B156" s="451"/>
      <c r="C156" s="451"/>
      <c r="D156" s="451"/>
      <c r="E156" s="451"/>
      <c r="F156" s="229" t="str">
        <f>K11</f>
        <v>São Paulo / SP</v>
      </c>
      <c r="G156" s="464"/>
      <c r="H156" s="464"/>
      <c r="I156" s="471"/>
      <c r="J156" s="471"/>
      <c r="K156" s="471"/>
    </row>
    <row r="157" spans="1:11" ht="17.25" customHeight="1">
      <c r="A157" s="451"/>
      <c r="B157" s="451"/>
      <c r="C157" s="451"/>
      <c r="D157" s="451"/>
      <c r="E157" s="451"/>
      <c r="F157" s="409" t="s">
        <v>62</v>
      </c>
      <c r="G157" s="478"/>
      <c r="H157" s="478"/>
      <c r="I157" s="471"/>
      <c r="J157" s="471"/>
      <c r="K157" s="405">
        <f>ROUND(($I$152/(1-$G$159)*G157),2)</f>
        <v>0</v>
      </c>
    </row>
    <row r="158" spans="1:11" ht="17.25" customHeight="1">
      <c r="A158" s="451"/>
      <c r="B158" s="451"/>
      <c r="C158" s="451"/>
      <c r="D158" s="483" t="s">
        <v>65</v>
      </c>
      <c r="E158" s="483"/>
      <c r="F158" s="409"/>
      <c r="G158" s="478"/>
      <c r="H158" s="478"/>
      <c r="I158" s="471"/>
      <c r="J158" s="471"/>
      <c r="K158" s="405">
        <f>ROUND(($I$152/(1-$G$159)*G158),2)</f>
        <v>0</v>
      </c>
    </row>
    <row r="159" spans="1:13" ht="17.25" customHeight="1">
      <c r="A159" s="451"/>
      <c r="B159" s="463" t="s">
        <v>66</v>
      </c>
      <c r="C159" s="463"/>
      <c r="D159" s="463"/>
      <c r="E159" s="463"/>
      <c r="F159" s="463"/>
      <c r="G159" s="474">
        <f>SUM(G152:H158)</f>
        <v>0.0865</v>
      </c>
      <c r="H159" s="474"/>
      <c r="I159" s="475"/>
      <c r="J159" s="475"/>
      <c r="K159" s="230"/>
      <c r="M159" s="123"/>
    </row>
    <row r="160" spans="1:11" ht="17.25" customHeight="1">
      <c r="A160" s="458" t="s">
        <v>67</v>
      </c>
      <c r="B160" s="458"/>
      <c r="C160" s="458"/>
      <c r="D160" s="458"/>
      <c r="E160" s="458"/>
      <c r="F160" s="458"/>
      <c r="G160" s="458"/>
      <c r="H160" s="458"/>
      <c r="I160" s="466">
        <f>((1+G150)*(1+G151))/(1-G159)-1</f>
        <v>0.24391899288451047</v>
      </c>
      <c r="J160" s="466"/>
      <c r="K160" s="224">
        <f>ROUND(SUM(K150:K158),2)</f>
        <v>1566.94</v>
      </c>
    </row>
    <row r="161" spans="1:11" ht="6" customHeight="1">
      <c r="A161" s="476"/>
      <c r="B161" s="476"/>
      <c r="C161" s="476"/>
      <c r="D161" s="476"/>
      <c r="E161" s="476"/>
      <c r="F161" s="476"/>
      <c r="G161" s="476"/>
      <c r="H161" s="476"/>
      <c r="I161" s="476"/>
      <c r="J161" s="476"/>
      <c r="K161" s="476"/>
    </row>
    <row r="162" spans="1:11" ht="19.5" customHeight="1">
      <c r="A162" s="472" t="s">
        <v>105</v>
      </c>
      <c r="B162" s="472"/>
      <c r="C162" s="472"/>
      <c r="D162" s="472"/>
      <c r="E162" s="472"/>
      <c r="F162" s="472"/>
      <c r="G162" s="472"/>
      <c r="H162" s="472"/>
      <c r="I162" s="472"/>
      <c r="J162" s="472"/>
      <c r="K162" s="412" t="s">
        <v>20</v>
      </c>
    </row>
    <row r="163" spans="1:11" ht="17.25" customHeight="1">
      <c r="A163" s="401" t="s">
        <v>1</v>
      </c>
      <c r="B163" s="465" t="s">
        <v>68</v>
      </c>
      <c r="C163" s="465"/>
      <c r="D163" s="465"/>
      <c r="E163" s="465"/>
      <c r="F163" s="465"/>
      <c r="G163" s="465"/>
      <c r="H163" s="465"/>
      <c r="I163" s="465"/>
      <c r="J163" s="465"/>
      <c r="K163" s="405">
        <f>K35</f>
        <v>2283.36</v>
      </c>
    </row>
    <row r="164" spans="1:11" ht="17.25" customHeight="1">
      <c r="A164" s="401" t="s">
        <v>3</v>
      </c>
      <c r="B164" s="465" t="s">
        <v>69</v>
      </c>
      <c r="C164" s="465"/>
      <c r="D164" s="465"/>
      <c r="E164" s="465"/>
      <c r="F164" s="465"/>
      <c r="G164" s="465"/>
      <c r="H164" s="465"/>
      <c r="I164" s="465"/>
      <c r="J164" s="465"/>
      <c r="K164" s="405">
        <f>K74</f>
        <v>2223.1</v>
      </c>
    </row>
    <row r="165" spans="1:11" ht="17.25" customHeight="1">
      <c r="A165" s="401" t="s">
        <v>5</v>
      </c>
      <c r="B165" s="465" t="s">
        <v>70</v>
      </c>
      <c r="C165" s="465"/>
      <c r="D165" s="465"/>
      <c r="E165" s="465"/>
      <c r="F165" s="465"/>
      <c r="G165" s="465"/>
      <c r="H165" s="465"/>
      <c r="I165" s="465"/>
      <c r="J165" s="465"/>
      <c r="K165" s="405">
        <f>K101</f>
        <v>242.32</v>
      </c>
    </row>
    <row r="166" spans="1:11" ht="17.25" customHeight="1">
      <c r="A166" s="401" t="s">
        <v>6</v>
      </c>
      <c r="B166" s="465" t="s">
        <v>71</v>
      </c>
      <c r="C166" s="465"/>
      <c r="D166" s="465"/>
      <c r="E166" s="465"/>
      <c r="F166" s="465"/>
      <c r="G166" s="465"/>
      <c r="H166" s="465"/>
      <c r="I166" s="465"/>
      <c r="J166" s="465"/>
      <c r="K166" s="405">
        <f>K134</f>
        <v>382.53</v>
      </c>
    </row>
    <row r="167" spans="1:11" ht="17.25" customHeight="1">
      <c r="A167" s="401" t="s">
        <v>8</v>
      </c>
      <c r="B167" s="465" t="s">
        <v>72</v>
      </c>
      <c r="C167" s="465"/>
      <c r="D167" s="465"/>
      <c r="E167" s="465"/>
      <c r="F167" s="465"/>
      <c r="G167" s="465"/>
      <c r="H167" s="465"/>
      <c r="I167" s="465"/>
      <c r="J167" s="465"/>
      <c r="K167" s="405">
        <f>K143</f>
        <v>1292.7586666666664</v>
      </c>
    </row>
    <row r="168" spans="1:11" ht="17.25" customHeight="1">
      <c r="A168" s="401" t="s">
        <v>10</v>
      </c>
      <c r="B168" s="465" t="s">
        <v>73</v>
      </c>
      <c r="C168" s="465"/>
      <c r="D168" s="465"/>
      <c r="E168" s="465"/>
      <c r="F168" s="465"/>
      <c r="G168" s="465"/>
      <c r="H168" s="465"/>
      <c r="I168" s="465"/>
      <c r="J168" s="465"/>
      <c r="K168" s="405">
        <f>K160</f>
        <v>1566.94</v>
      </c>
    </row>
    <row r="169" spans="1:11" ht="18" customHeight="1">
      <c r="A169" s="472" t="s">
        <v>74</v>
      </c>
      <c r="B169" s="472"/>
      <c r="C169" s="472"/>
      <c r="D169" s="472"/>
      <c r="E169" s="472"/>
      <c r="F169" s="472"/>
      <c r="G169" s="472"/>
      <c r="H169" s="472"/>
      <c r="I169" s="472"/>
      <c r="J169" s="472"/>
      <c r="K169" s="231">
        <f>ROUND(SUM(K163:K168),2)</f>
        <v>7991.01</v>
      </c>
    </row>
    <row r="170" spans="1:11" ht="6" customHeight="1">
      <c r="A170" s="473"/>
      <c r="B170" s="473"/>
      <c r="C170" s="473"/>
      <c r="D170" s="473"/>
      <c r="E170" s="473"/>
      <c r="F170" s="473"/>
      <c r="G170" s="473"/>
      <c r="H170" s="473"/>
      <c r="I170" s="473"/>
      <c r="J170" s="473"/>
      <c r="K170" s="473"/>
    </row>
    <row r="172" spans="1:11" ht="15">
      <c r="A172" s="477" t="s">
        <v>642</v>
      </c>
      <c r="B172" s="477"/>
      <c r="C172" s="477"/>
      <c r="D172" s="477"/>
      <c r="E172" s="477"/>
      <c r="F172" s="477"/>
      <c r="G172" s="477"/>
      <c r="H172" s="477"/>
      <c r="I172" s="477"/>
      <c r="J172" s="477"/>
      <c r="K172" s="477"/>
    </row>
  </sheetData>
  <sheetProtection password="CC3A" sheet="1" formatCells="0"/>
  <mergeCells count="257">
    <mergeCell ref="B168:J168"/>
    <mergeCell ref="A169:J169"/>
    <mergeCell ref="A170:K170"/>
    <mergeCell ref="A162:J162"/>
    <mergeCell ref="B163:J163"/>
    <mergeCell ref="B164:J164"/>
    <mergeCell ref="B165:J165"/>
    <mergeCell ref="B166:J166"/>
    <mergeCell ref="B167:J167"/>
    <mergeCell ref="B159:F159"/>
    <mergeCell ref="G159:H159"/>
    <mergeCell ref="I159:J159"/>
    <mergeCell ref="A160:H160"/>
    <mergeCell ref="I160:J160"/>
    <mergeCell ref="A161:K161"/>
    <mergeCell ref="A152:A159"/>
    <mergeCell ref="B152:C158"/>
    <mergeCell ref="D152:E154"/>
    <mergeCell ref="G152:H152"/>
    <mergeCell ref="D155:E157"/>
    <mergeCell ref="G155:H156"/>
    <mergeCell ref="K155:K156"/>
    <mergeCell ref="G157:H157"/>
    <mergeCell ref="D158:E158"/>
    <mergeCell ref="G158:H158"/>
    <mergeCell ref="I152:J158"/>
    <mergeCell ref="M152:T152"/>
    <mergeCell ref="G153:H153"/>
    <mergeCell ref="M153:T153"/>
    <mergeCell ref="G154:H154"/>
    <mergeCell ref="M154:T154"/>
    <mergeCell ref="B150:F150"/>
    <mergeCell ref="G150:H150"/>
    <mergeCell ref="I150:J150"/>
    <mergeCell ref="M150:T151"/>
    <mergeCell ref="B151:F151"/>
    <mergeCell ref="G151:H151"/>
    <mergeCell ref="I151:J151"/>
    <mergeCell ref="A146:K146"/>
    <mergeCell ref="A147:K147"/>
    <mergeCell ref="A148:K148"/>
    <mergeCell ref="A149:F149"/>
    <mergeCell ref="G149:H149"/>
    <mergeCell ref="I149:J149"/>
    <mergeCell ref="B140:J140"/>
    <mergeCell ref="B141:J141"/>
    <mergeCell ref="B142:J142"/>
    <mergeCell ref="A143:J143"/>
    <mergeCell ref="A144:K144"/>
    <mergeCell ref="A145:J145"/>
    <mergeCell ref="A128:K128"/>
    <mergeCell ref="A135:K135"/>
    <mergeCell ref="A136:K136"/>
    <mergeCell ref="B137:J137"/>
    <mergeCell ref="B138:J138"/>
    <mergeCell ref="B139:J139"/>
    <mergeCell ref="A129:K129"/>
    <mergeCell ref="A130:J130"/>
    <mergeCell ref="B131:J131"/>
    <mergeCell ref="A132:J132"/>
    <mergeCell ref="A133:K133"/>
    <mergeCell ref="A134:J134"/>
    <mergeCell ref="B72:J72"/>
    <mergeCell ref="A73:J73"/>
    <mergeCell ref="A74:J74"/>
    <mergeCell ref="A75:K75"/>
    <mergeCell ref="A76:K76"/>
    <mergeCell ref="A78:J78"/>
    <mergeCell ref="A79:J79"/>
    <mergeCell ref="A80:J80"/>
    <mergeCell ref="M76:T127"/>
    <mergeCell ref="A69:A71"/>
    <mergeCell ref="B69:F69"/>
    <mergeCell ref="G69:J69"/>
    <mergeCell ref="B70:F70"/>
    <mergeCell ref="G70:J70"/>
    <mergeCell ref="K70:K71"/>
    <mergeCell ref="B71:F71"/>
    <mergeCell ref="G71:J71"/>
    <mergeCell ref="A77:K77"/>
    <mergeCell ref="A81:J81"/>
    <mergeCell ref="A82:J82"/>
    <mergeCell ref="A83:J83"/>
    <mergeCell ref="A84:J84"/>
    <mergeCell ref="A85:J85"/>
    <mergeCell ref="A86:G87"/>
    <mergeCell ref="H87:J87"/>
    <mergeCell ref="A66:A68"/>
    <mergeCell ref="B66:F66"/>
    <mergeCell ref="G66:J66"/>
    <mergeCell ref="K66:K68"/>
    <mergeCell ref="M66:T68"/>
    <mergeCell ref="B67:E67"/>
    <mergeCell ref="G67:J67"/>
    <mergeCell ref="B68:E68"/>
    <mergeCell ref="G68:J68"/>
    <mergeCell ref="A63:A65"/>
    <mergeCell ref="B63:F63"/>
    <mergeCell ref="G63:J63"/>
    <mergeCell ref="K63:K65"/>
    <mergeCell ref="B64:D64"/>
    <mergeCell ref="G64:J64"/>
    <mergeCell ref="B65:D65"/>
    <mergeCell ref="G65:J65"/>
    <mergeCell ref="A59:H59"/>
    <mergeCell ref="I59:J59"/>
    <mergeCell ref="A60:K60"/>
    <mergeCell ref="A61:K61"/>
    <mergeCell ref="M61:T62"/>
    <mergeCell ref="A62:J62"/>
    <mergeCell ref="B56:H56"/>
    <mergeCell ref="I56:J56"/>
    <mergeCell ref="B57:H57"/>
    <mergeCell ref="I57:J57"/>
    <mergeCell ref="B58:H58"/>
    <mergeCell ref="I58:J58"/>
    <mergeCell ref="K52:K53"/>
    <mergeCell ref="M52:T53"/>
    <mergeCell ref="B54:H54"/>
    <mergeCell ref="I54:J54"/>
    <mergeCell ref="B55:H55"/>
    <mergeCell ref="I55:J55"/>
    <mergeCell ref="B50:H50"/>
    <mergeCell ref="I50:J50"/>
    <mergeCell ref="B51:H51"/>
    <mergeCell ref="I51:J51"/>
    <mergeCell ref="A52:A53"/>
    <mergeCell ref="B52:F53"/>
    <mergeCell ref="I52:J53"/>
    <mergeCell ref="A44:K44"/>
    <mergeCell ref="A45:K45"/>
    <mergeCell ref="A46:J46"/>
    <mergeCell ref="A47:J47"/>
    <mergeCell ref="A48:J48"/>
    <mergeCell ref="A49:H49"/>
    <mergeCell ref="I49:J49"/>
    <mergeCell ref="M40:T42"/>
    <mergeCell ref="B41:H41"/>
    <mergeCell ref="I41:J41"/>
    <mergeCell ref="B42:H42"/>
    <mergeCell ref="I42:J42"/>
    <mergeCell ref="A43:H43"/>
    <mergeCell ref="I43:J43"/>
    <mergeCell ref="A37:K37"/>
    <mergeCell ref="A38:K38"/>
    <mergeCell ref="A39:H39"/>
    <mergeCell ref="I39:J39"/>
    <mergeCell ref="B40:H40"/>
    <mergeCell ref="I40:J40"/>
    <mergeCell ref="K31:K33"/>
    <mergeCell ref="M31:T33"/>
    <mergeCell ref="I33:J33"/>
    <mergeCell ref="B34:J34"/>
    <mergeCell ref="A35:J35"/>
    <mergeCell ref="A36:K36"/>
    <mergeCell ref="B30:G30"/>
    <mergeCell ref="I30:J30"/>
    <mergeCell ref="A31:A33"/>
    <mergeCell ref="B31:F33"/>
    <mergeCell ref="G31:G32"/>
    <mergeCell ref="H31:H32"/>
    <mergeCell ref="I31:J32"/>
    <mergeCell ref="B14:J14"/>
    <mergeCell ref="M26:T26"/>
    <mergeCell ref="B27:G27"/>
    <mergeCell ref="I27:J27"/>
    <mergeCell ref="B28:G28"/>
    <mergeCell ref="I28:J28"/>
    <mergeCell ref="B18:J18"/>
    <mergeCell ref="B19:J19"/>
    <mergeCell ref="B20:J20"/>
    <mergeCell ref="B21:J21"/>
    <mergeCell ref="B22:J22"/>
    <mergeCell ref="A23:K23"/>
    <mergeCell ref="A24:K24"/>
    <mergeCell ref="A25:J25"/>
    <mergeCell ref="B26:G26"/>
    <mergeCell ref="I26:J26"/>
    <mergeCell ref="A172:K172"/>
    <mergeCell ref="A5:C5"/>
    <mergeCell ref="D5:K5"/>
    <mergeCell ref="A6:C6"/>
    <mergeCell ref="D6:K6"/>
    <mergeCell ref="A7:K7"/>
    <mergeCell ref="A8:K8"/>
    <mergeCell ref="B15:J15"/>
    <mergeCell ref="B16:J16"/>
    <mergeCell ref="B17:J17"/>
    <mergeCell ref="A1:K1"/>
    <mergeCell ref="A2:K2"/>
    <mergeCell ref="A3:C3"/>
    <mergeCell ref="D3:K3"/>
    <mergeCell ref="A4:C4"/>
    <mergeCell ref="D4:K4"/>
    <mergeCell ref="H92:J92"/>
    <mergeCell ref="H93:J93"/>
    <mergeCell ref="A9:K9"/>
    <mergeCell ref="B10:J10"/>
    <mergeCell ref="B11:J11"/>
    <mergeCell ref="B12:J12"/>
    <mergeCell ref="B13:J13"/>
    <mergeCell ref="H86:J86"/>
    <mergeCell ref="B29:G29"/>
    <mergeCell ref="I29:J29"/>
    <mergeCell ref="A101:J101"/>
    <mergeCell ref="A102:K102"/>
    <mergeCell ref="A103:K103"/>
    <mergeCell ref="A104:K104"/>
    <mergeCell ref="A105:K105"/>
    <mergeCell ref="A88:J88"/>
    <mergeCell ref="A89:K89"/>
    <mergeCell ref="A90:J90"/>
    <mergeCell ref="A91:J91"/>
    <mergeCell ref="A92:G93"/>
    <mergeCell ref="A106:E106"/>
    <mergeCell ref="H106:J106"/>
    <mergeCell ref="A94:J94"/>
    <mergeCell ref="A95:K95"/>
    <mergeCell ref="A96:J96"/>
    <mergeCell ref="A97:J97"/>
    <mergeCell ref="A98:G99"/>
    <mergeCell ref="H98:J98"/>
    <mergeCell ref="H99:J99"/>
    <mergeCell ref="A100:J100"/>
    <mergeCell ref="A107:E107"/>
    <mergeCell ref="H107:J107"/>
    <mergeCell ref="A108:E108"/>
    <mergeCell ref="H108:J108"/>
    <mergeCell ref="A109:E109"/>
    <mergeCell ref="H109:J109"/>
    <mergeCell ref="H115:J115"/>
    <mergeCell ref="A110:E110"/>
    <mergeCell ref="H110:J110"/>
    <mergeCell ref="A111:E111"/>
    <mergeCell ref="H111:J111"/>
    <mergeCell ref="A112:E112"/>
    <mergeCell ref="H112:J112"/>
    <mergeCell ref="A119:J119"/>
    <mergeCell ref="A120:J120"/>
    <mergeCell ref="A121:J121"/>
    <mergeCell ref="A122:J122"/>
    <mergeCell ref="A123:J123"/>
    <mergeCell ref="A113:E113"/>
    <mergeCell ref="H113:J113"/>
    <mergeCell ref="A114:E114"/>
    <mergeCell ref="H114:J114"/>
    <mergeCell ref="A115:E115"/>
    <mergeCell ref="A116:E116"/>
    <mergeCell ref="H116:J116"/>
    <mergeCell ref="A124:J124"/>
    <mergeCell ref="A125:J125"/>
    <mergeCell ref="A126:J126"/>
    <mergeCell ref="A127:J127"/>
    <mergeCell ref="A117:E117"/>
    <mergeCell ref="H117:J117"/>
    <mergeCell ref="A118:E118"/>
    <mergeCell ref="H118:J118"/>
  </mergeCells>
  <dataValidations count="1">
    <dataValidation type="custom" allowBlank="1" showInputMessage="1" showErrorMessage="1" sqref="O49">
      <formula1>"0,5 a 1"</formula1>
    </dataValidation>
  </dataValidations>
  <printOptions horizontalCentered="1" verticalCentered="1"/>
  <pageMargins left="0.7086614173228347" right="0.7086614173228347" top="0.7480314960629921" bottom="0.7480314960629921" header="0.31496062992125984" footer="0.31496062992125984"/>
  <pageSetup fitToHeight="2" fitToWidth="1" horizontalDpi="600" verticalDpi="600" orientation="portrait" paperSize="9" scale="52"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T177"/>
  <sheetViews>
    <sheetView showGridLines="0" showZeros="0" view="pageBreakPreview" zoomScaleSheetLayoutView="100" zoomScalePageLayoutView="60" workbookViewId="0" topLeftCell="A163">
      <selection activeCell="A85" sqref="A85:J85"/>
    </sheetView>
  </sheetViews>
  <sheetFormatPr defaultColWidth="8.7109375" defaultRowHeight="15"/>
  <cols>
    <col min="1" max="1" width="7.140625" style="115" customWidth="1"/>
    <col min="2" max="2" width="6.7109375" style="115" customWidth="1"/>
    <col min="3" max="3" width="6.28125" style="115" customWidth="1"/>
    <col min="4" max="4" width="8.7109375" style="115" customWidth="1"/>
    <col min="5" max="5" width="11.28125" style="115" customWidth="1"/>
    <col min="6" max="6" width="19.140625" style="115" customWidth="1"/>
    <col min="7" max="8" width="10.7109375" style="115" customWidth="1"/>
    <col min="9" max="9" width="8.7109375" style="115" customWidth="1"/>
    <col min="10" max="10" width="7.00390625" style="115" customWidth="1"/>
    <col min="11" max="11" width="37.140625" style="124" customWidth="1"/>
    <col min="12" max="12" width="3.421875" style="115" customWidth="1"/>
    <col min="13" max="13" width="11.140625" style="116" bestFit="1" customWidth="1"/>
    <col min="14" max="19" width="8.7109375" style="116" customWidth="1"/>
    <col min="20" max="20" width="19.57421875" style="116" customWidth="1"/>
    <col min="21" max="16384" width="8.7109375" style="115" customWidth="1"/>
  </cols>
  <sheetData>
    <row r="1" spans="1:12" s="116" customFormat="1" ht="21.75" customHeight="1">
      <c r="A1" s="524" t="s">
        <v>686</v>
      </c>
      <c r="B1" s="524"/>
      <c r="C1" s="524"/>
      <c r="D1" s="524"/>
      <c r="E1" s="524"/>
      <c r="F1" s="524"/>
      <c r="G1" s="524"/>
      <c r="H1" s="524"/>
      <c r="I1" s="524"/>
      <c r="J1" s="524"/>
      <c r="K1" s="524"/>
      <c r="L1" s="115"/>
    </row>
    <row r="2" spans="1:12" s="116" customFormat="1" ht="6.75" customHeight="1">
      <c r="A2" s="476"/>
      <c r="B2" s="476"/>
      <c r="C2" s="476"/>
      <c r="D2" s="476"/>
      <c r="E2" s="476"/>
      <c r="F2" s="476"/>
      <c r="G2" s="476"/>
      <c r="H2" s="476"/>
      <c r="I2" s="476"/>
      <c r="J2" s="476"/>
      <c r="K2" s="476"/>
      <c r="L2" s="115"/>
    </row>
    <row r="3" spans="1:12" s="116" customFormat="1" ht="17.25" customHeight="1">
      <c r="A3" s="521" t="s">
        <v>75</v>
      </c>
      <c r="B3" s="521"/>
      <c r="C3" s="521"/>
      <c r="D3" s="523" t="s">
        <v>269</v>
      </c>
      <c r="E3" s="523"/>
      <c r="F3" s="523"/>
      <c r="G3" s="523"/>
      <c r="H3" s="523"/>
      <c r="I3" s="523"/>
      <c r="J3" s="523"/>
      <c r="K3" s="523"/>
      <c r="L3" s="115"/>
    </row>
    <row r="4" spans="1:12" s="116" customFormat="1" ht="17.25" customHeight="1">
      <c r="A4" s="521" t="s">
        <v>95</v>
      </c>
      <c r="B4" s="521"/>
      <c r="C4" s="521"/>
      <c r="D4" s="522">
        <f>'Item 1.1'!D4:K4</f>
        <v>0</v>
      </c>
      <c r="E4" s="522"/>
      <c r="F4" s="522"/>
      <c r="G4" s="522"/>
      <c r="H4" s="522"/>
      <c r="I4" s="522"/>
      <c r="J4" s="522"/>
      <c r="K4" s="522"/>
      <c r="L4" s="115"/>
    </row>
    <row r="5" spans="1:12" s="116" customFormat="1" ht="17.25" customHeight="1">
      <c r="A5" s="521" t="s">
        <v>96</v>
      </c>
      <c r="B5" s="521"/>
      <c r="C5" s="521"/>
      <c r="D5" s="522">
        <f>'Item 1.1'!D5:K5</f>
        <v>0</v>
      </c>
      <c r="E5" s="522"/>
      <c r="F5" s="522"/>
      <c r="G5" s="522"/>
      <c r="H5" s="522"/>
      <c r="I5" s="522"/>
      <c r="J5" s="522"/>
      <c r="K5" s="522"/>
      <c r="L5" s="115"/>
    </row>
    <row r="6" spans="1:12" s="116" customFormat="1" ht="17.25" customHeight="1">
      <c r="A6" s="521" t="s">
        <v>159</v>
      </c>
      <c r="B6" s="521"/>
      <c r="C6" s="521"/>
      <c r="D6" s="523" t="s">
        <v>268</v>
      </c>
      <c r="E6" s="523"/>
      <c r="F6" s="523"/>
      <c r="G6" s="523"/>
      <c r="H6" s="523"/>
      <c r="I6" s="523"/>
      <c r="J6" s="523"/>
      <c r="K6" s="523"/>
      <c r="L6" s="115"/>
    </row>
    <row r="7" spans="1:12" s="116" customFormat="1" ht="6.75" customHeight="1">
      <c r="A7" s="525"/>
      <c r="B7" s="525"/>
      <c r="C7" s="525"/>
      <c r="D7" s="525"/>
      <c r="E7" s="525"/>
      <c r="F7" s="525"/>
      <c r="G7" s="525"/>
      <c r="H7" s="525"/>
      <c r="I7" s="525"/>
      <c r="J7" s="525"/>
      <c r="K7" s="525"/>
      <c r="L7" s="115"/>
    </row>
    <row r="8" spans="1:12" s="116" customFormat="1" ht="6.75" customHeight="1">
      <c r="A8" s="457"/>
      <c r="B8" s="457"/>
      <c r="C8" s="457"/>
      <c r="D8" s="457"/>
      <c r="E8" s="457"/>
      <c r="F8" s="457"/>
      <c r="G8" s="457"/>
      <c r="H8" s="457"/>
      <c r="I8" s="457"/>
      <c r="J8" s="457"/>
      <c r="K8" s="457"/>
      <c r="L8" s="115"/>
    </row>
    <row r="9" spans="1:12" s="116" customFormat="1" ht="17.25" customHeight="1">
      <c r="A9" s="458" t="s">
        <v>0</v>
      </c>
      <c r="B9" s="458"/>
      <c r="C9" s="458"/>
      <c r="D9" s="458"/>
      <c r="E9" s="458"/>
      <c r="F9" s="458"/>
      <c r="G9" s="458"/>
      <c r="H9" s="458"/>
      <c r="I9" s="458"/>
      <c r="J9" s="458"/>
      <c r="K9" s="458"/>
      <c r="L9" s="115"/>
    </row>
    <row r="10" spans="1:12" s="116" customFormat="1" ht="17.25" customHeight="1">
      <c r="A10" s="401" t="s">
        <v>1</v>
      </c>
      <c r="B10" s="465" t="s">
        <v>2</v>
      </c>
      <c r="C10" s="465"/>
      <c r="D10" s="465"/>
      <c r="E10" s="465"/>
      <c r="F10" s="465"/>
      <c r="G10" s="465"/>
      <c r="H10" s="465"/>
      <c r="I10" s="465"/>
      <c r="J10" s="465"/>
      <c r="K10" s="413">
        <f>'Item 1.1'!K10</f>
        <v>0</v>
      </c>
      <c r="L10" s="115"/>
    </row>
    <row r="11" spans="1:12" s="116" customFormat="1" ht="16.5" customHeight="1">
      <c r="A11" s="401" t="s">
        <v>3</v>
      </c>
      <c r="B11" s="465" t="s">
        <v>4</v>
      </c>
      <c r="C11" s="465"/>
      <c r="D11" s="465"/>
      <c r="E11" s="465"/>
      <c r="F11" s="465"/>
      <c r="G11" s="465"/>
      <c r="H11" s="465"/>
      <c r="I11" s="465"/>
      <c r="J11" s="465"/>
      <c r="K11" s="400" t="s">
        <v>270</v>
      </c>
      <c r="L11" s="115"/>
    </row>
    <row r="12" spans="1:12" s="116" customFormat="1" ht="15">
      <c r="A12" s="401" t="s">
        <v>5</v>
      </c>
      <c r="B12" s="465" t="s">
        <v>120</v>
      </c>
      <c r="C12" s="465"/>
      <c r="D12" s="465"/>
      <c r="E12" s="465"/>
      <c r="F12" s="465"/>
      <c r="G12" s="465"/>
      <c r="H12" s="465"/>
      <c r="I12" s="465"/>
      <c r="J12" s="465"/>
      <c r="K12" s="220" t="s">
        <v>271</v>
      </c>
      <c r="L12" s="115"/>
    </row>
    <row r="13" spans="1:12" s="116" customFormat="1" ht="16.5" customHeight="1">
      <c r="A13" s="401" t="s">
        <v>6</v>
      </c>
      <c r="B13" s="503" t="s">
        <v>77</v>
      </c>
      <c r="C13" s="503"/>
      <c r="D13" s="503"/>
      <c r="E13" s="503"/>
      <c r="F13" s="503"/>
      <c r="G13" s="503"/>
      <c r="H13" s="503"/>
      <c r="I13" s="503"/>
      <c r="J13" s="503"/>
      <c r="K13" s="400" t="s">
        <v>262</v>
      </c>
      <c r="L13" s="115"/>
    </row>
    <row r="14" spans="1:12" s="116" customFormat="1" ht="16.5" customHeight="1">
      <c r="A14" s="401" t="s">
        <v>8</v>
      </c>
      <c r="B14" s="503" t="s">
        <v>127</v>
      </c>
      <c r="C14" s="503"/>
      <c r="D14" s="503"/>
      <c r="E14" s="503"/>
      <c r="F14" s="503"/>
      <c r="G14" s="503"/>
      <c r="H14" s="503"/>
      <c r="I14" s="503"/>
      <c r="J14" s="503"/>
      <c r="K14" s="221" t="s">
        <v>223</v>
      </c>
      <c r="L14" s="115"/>
    </row>
    <row r="15" spans="1:12" s="116" customFormat="1" ht="16.5" customHeight="1">
      <c r="A15" s="401" t="s">
        <v>10</v>
      </c>
      <c r="B15" s="503" t="s">
        <v>7</v>
      </c>
      <c r="C15" s="503"/>
      <c r="D15" s="503"/>
      <c r="E15" s="503"/>
      <c r="F15" s="503"/>
      <c r="G15" s="503"/>
      <c r="H15" s="503"/>
      <c r="I15" s="503"/>
      <c r="J15" s="503"/>
      <c r="K15" s="400" t="s">
        <v>1155</v>
      </c>
      <c r="L15" s="115"/>
    </row>
    <row r="16" spans="1:12" s="116" customFormat="1" ht="29.25" customHeight="1">
      <c r="A16" s="401" t="s">
        <v>11</v>
      </c>
      <c r="B16" s="503" t="s">
        <v>9</v>
      </c>
      <c r="C16" s="503"/>
      <c r="D16" s="503"/>
      <c r="E16" s="503"/>
      <c r="F16" s="503"/>
      <c r="G16" s="503"/>
      <c r="H16" s="503"/>
      <c r="I16" s="503"/>
      <c r="J16" s="503"/>
      <c r="K16" s="232" t="s">
        <v>1154</v>
      </c>
      <c r="L16" s="117"/>
    </row>
    <row r="17" spans="1:12" ht="15.75" customHeight="1">
      <c r="A17" s="401" t="s">
        <v>12</v>
      </c>
      <c r="B17" s="503" t="s">
        <v>143</v>
      </c>
      <c r="C17" s="503"/>
      <c r="D17" s="503"/>
      <c r="E17" s="503"/>
      <c r="F17" s="503"/>
      <c r="G17" s="503"/>
      <c r="H17" s="503"/>
      <c r="I17" s="503"/>
      <c r="J17" s="503"/>
      <c r="K17" s="400">
        <v>1302</v>
      </c>
      <c r="L17" s="117"/>
    </row>
    <row r="18" spans="1:11" ht="16.5" customHeight="1">
      <c r="A18" s="401" t="s">
        <v>14</v>
      </c>
      <c r="B18" s="503" t="s">
        <v>162</v>
      </c>
      <c r="C18" s="503"/>
      <c r="D18" s="503"/>
      <c r="E18" s="503"/>
      <c r="F18" s="503"/>
      <c r="G18" s="503"/>
      <c r="H18" s="503"/>
      <c r="I18" s="503"/>
      <c r="J18" s="503"/>
      <c r="K18" s="402">
        <v>3915.92</v>
      </c>
    </row>
    <row r="19" spans="1:11" ht="26.25" customHeight="1">
      <c r="A19" s="401" t="s">
        <v>16</v>
      </c>
      <c r="B19" s="465" t="s">
        <v>84</v>
      </c>
      <c r="C19" s="465"/>
      <c r="D19" s="465"/>
      <c r="E19" s="465"/>
      <c r="F19" s="465"/>
      <c r="G19" s="465"/>
      <c r="H19" s="465"/>
      <c r="I19" s="465"/>
      <c r="J19" s="465"/>
      <c r="K19" s="240" t="str">
        <f>'Item 1.2'!K19</f>
        <v>SINDINSTALAÇÃO-SP X SINTRACON-SP - SP006398/2022</v>
      </c>
    </row>
    <row r="20" spans="1:11" ht="16.5" customHeight="1">
      <c r="A20" s="401" t="s">
        <v>76</v>
      </c>
      <c r="B20" s="465" t="s">
        <v>13</v>
      </c>
      <c r="C20" s="465"/>
      <c r="D20" s="465"/>
      <c r="E20" s="465"/>
      <c r="F20" s="465"/>
      <c r="G20" s="465"/>
      <c r="H20" s="465"/>
      <c r="I20" s="465"/>
      <c r="J20" s="465"/>
      <c r="K20" s="241" t="s">
        <v>1150</v>
      </c>
    </row>
    <row r="21" spans="1:11" ht="17.25" customHeight="1">
      <c r="A21" s="401" t="s">
        <v>78</v>
      </c>
      <c r="B21" s="465" t="s">
        <v>15</v>
      </c>
      <c r="C21" s="465"/>
      <c r="D21" s="465"/>
      <c r="E21" s="465"/>
      <c r="F21" s="465"/>
      <c r="G21" s="465"/>
      <c r="H21" s="465"/>
      <c r="I21" s="465"/>
      <c r="J21" s="465"/>
      <c r="K21" s="242">
        <v>44682</v>
      </c>
    </row>
    <row r="22" spans="1:11" ht="17.25" customHeight="1">
      <c r="A22" s="401" t="s">
        <v>142</v>
      </c>
      <c r="B22" s="465" t="s">
        <v>17</v>
      </c>
      <c r="C22" s="465"/>
      <c r="D22" s="465"/>
      <c r="E22" s="465"/>
      <c r="F22" s="465"/>
      <c r="G22" s="465"/>
      <c r="H22" s="465"/>
      <c r="I22" s="465"/>
      <c r="J22" s="465"/>
      <c r="K22" s="222">
        <v>12</v>
      </c>
    </row>
    <row r="23" spans="1:11" ht="6.75" customHeight="1">
      <c r="A23" s="457"/>
      <c r="B23" s="457"/>
      <c r="C23" s="457"/>
      <c r="D23" s="457"/>
      <c r="E23" s="457"/>
      <c r="F23" s="457"/>
      <c r="G23" s="457"/>
      <c r="H23" s="457"/>
      <c r="I23" s="457"/>
      <c r="J23" s="457"/>
      <c r="K23" s="457"/>
    </row>
    <row r="24" spans="1:11" ht="17.25" customHeight="1">
      <c r="A24" s="458" t="s">
        <v>18</v>
      </c>
      <c r="B24" s="458"/>
      <c r="C24" s="458"/>
      <c r="D24" s="458"/>
      <c r="E24" s="458"/>
      <c r="F24" s="458"/>
      <c r="G24" s="458"/>
      <c r="H24" s="458"/>
      <c r="I24" s="458"/>
      <c r="J24" s="458"/>
      <c r="K24" s="458"/>
    </row>
    <row r="25" spans="1:11" ht="17.25" customHeight="1">
      <c r="A25" s="458"/>
      <c r="B25" s="458"/>
      <c r="C25" s="458"/>
      <c r="D25" s="458"/>
      <c r="E25" s="458"/>
      <c r="F25" s="458"/>
      <c r="G25" s="458"/>
      <c r="H25" s="458"/>
      <c r="I25" s="458"/>
      <c r="J25" s="458"/>
      <c r="K25" s="398" t="s">
        <v>20</v>
      </c>
    </row>
    <row r="26" spans="1:20" ht="17.25" customHeight="1">
      <c r="A26" s="401" t="s">
        <v>1</v>
      </c>
      <c r="B26" s="503" t="s">
        <v>21</v>
      </c>
      <c r="C26" s="503"/>
      <c r="D26" s="503"/>
      <c r="E26" s="503"/>
      <c r="F26" s="503"/>
      <c r="G26" s="503"/>
      <c r="H26" s="223">
        <v>220</v>
      </c>
      <c r="I26" s="451" t="s">
        <v>126</v>
      </c>
      <c r="J26" s="451"/>
      <c r="K26" s="402">
        <f>(K18/220)*H26</f>
        <v>3915.92</v>
      </c>
      <c r="M26" s="548"/>
      <c r="N26" s="548"/>
      <c r="O26" s="548"/>
      <c r="P26" s="548"/>
      <c r="Q26" s="548"/>
      <c r="R26" s="548"/>
      <c r="S26" s="548"/>
      <c r="T26" s="548"/>
    </row>
    <row r="27" spans="1:20" ht="17.25" customHeight="1">
      <c r="A27" s="401" t="s">
        <v>3</v>
      </c>
      <c r="B27" s="503" t="s">
        <v>98</v>
      </c>
      <c r="C27" s="503"/>
      <c r="D27" s="503"/>
      <c r="E27" s="503"/>
      <c r="F27" s="503"/>
      <c r="G27" s="503"/>
      <c r="H27" s="404">
        <v>0.3</v>
      </c>
      <c r="I27" s="451" t="s">
        <v>100</v>
      </c>
      <c r="J27" s="451"/>
      <c r="K27" s="400">
        <f>(K26*H27)</f>
        <v>1174.776</v>
      </c>
      <c r="M27" s="186" t="s">
        <v>153</v>
      </c>
      <c r="N27" s="187"/>
      <c r="O27" s="187"/>
      <c r="P27" s="187"/>
      <c r="Q27" s="187"/>
      <c r="R27" s="187"/>
      <c r="S27" s="187"/>
      <c r="T27" s="188"/>
    </row>
    <row r="28" spans="1:20" ht="17.25" customHeight="1">
      <c r="A28" s="401" t="s">
        <v>5</v>
      </c>
      <c r="B28" s="503" t="s">
        <v>99</v>
      </c>
      <c r="C28" s="503"/>
      <c r="D28" s="503"/>
      <c r="E28" s="503"/>
      <c r="F28" s="503"/>
      <c r="G28" s="503"/>
      <c r="H28" s="404"/>
      <c r="I28" s="451" t="s">
        <v>100</v>
      </c>
      <c r="J28" s="451"/>
      <c r="K28" s="400">
        <f>H28*K17</f>
        <v>0</v>
      </c>
      <c r="M28" s="189" t="s">
        <v>153</v>
      </c>
      <c r="N28" s="190"/>
      <c r="O28" s="190"/>
      <c r="P28" s="190"/>
      <c r="Q28" s="190"/>
      <c r="R28" s="190"/>
      <c r="S28" s="190"/>
      <c r="T28" s="191"/>
    </row>
    <row r="29" spans="1:11" ht="17.25" customHeight="1">
      <c r="A29" s="401" t="s">
        <v>6</v>
      </c>
      <c r="B29" s="503" t="s">
        <v>101</v>
      </c>
      <c r="C29" s="503"/>
      <c r="D29" s="503"/>
      <c r="E29" s="503"/>
      <c r="F29" s="503"/>
      <c r="G29" s="503"/>
      <c r="H29" s="404"/>
      <c r="I29" s="451" t="s">
        <v>100</v>
      </c>
      <c r="J29" s="451"/>
      <c r="K29" s="400">
        <f>H29*K26</f>
        <v>0</v>
      </c>
    </row>
    <row r="30" spans="1:11" ht="17.25" customHeight="1">
      <c r="A30" s="401" t="s">
        <v>102</v>
      </c>
      <c r="B30" s="503" t="s">
        <v>103</v>
      </c>
      <c r="C30" s="503"/>
      <c r="D30" s="503"/>
      <c r="E30" s="503"/>
      <c r="F30" s="503"/>
      <c r="G30" s="503"/>
      <c r="H30" s="404"/>
      <c r="I30" s="451" t="s">
        <v>100</v>
      </c>
      <c r="J30" s="451"/>
      <c r="K30" s="400">
        <f>H30*K26</f>
        <v>0</v>
      </c>
    </row>
    <row r="31" spans="1:20" ht="17.25" customHeight="1">
      <c r="A31" s="451" t="s">
        <v>10</v>
      </c>
      <c r="B31" s="503" t="s">
        <v>140</v>
      </c>
      <c r="C31" s="503"/>
      <c r="D31" s="503"/>
      <c r="E31" s="503"/>
      <c r="F31" s="503"/>
      <c r="G31" s="519" t="s">
        <v>125</v>
      </c>
      <c r="H31" s="547" t="s">
        <v>123</v>
      </c>
      <c r="I31" s="519" t="s">
        <v>124</v>
      </c>
      <c r="J31" s="519"/>
      <c r="K31" s="546">
        <f>ROUND(I33*H33,2)</f>
        <v>0</v>
      </c>
      <c r="M31" s="538" t="s">
        <v>154</v>
      </c>
      <c r="N31" s="539"/>
      <c r="O31" s="539"/>
      <c r="P31" s="539"/>
      <c r="Q31" s="539"/>
      <c r="R31" s="539"/>
      <c r="S31" s="539"/>
      <c r="T31" s="540"/>
    </row>
    <row r="32" spans="1:20" ht="22.5" customHeight="1">
      <c r="A32" s="451"/>
      <c r="B32" s="503"/>
      <c r="C32" s="503"/>
      <c r="D32" s="503"/>
      <c r="E32" s="503"/>
      <c r="F32" s="503"/>
      <c r="G32" s="519"/>
      <c r="H32" s="547"/>
      <c r="I32" s="519"/>
      <c r="J32" s="519"/>
      <c r="K32" s="546"/>
      <c r="M32" s="541"/>
      <c r="N32" s="479"/>
      <c r="O32" s="479"/>
      <c r="P32" s="479"/>
      <c r="Q32" s="479"/>
      <c r="R32" s="479"/>
      <c r="S32" s="479"/>
      <c r="T32" s="542"/>
    </row>
    <row r="33" spans="1:20" ht="17.25" customHeight="1">
      <c r="A33" s="451"/>
      <c r="B33" s="503"/>
      <c r="C33" s="503"/>
      <c r="D33" s="503"/>
      <c r="E33" s="503"/>
      <c r="F33" s="503"/>
      <c r="G33" s="404"/>
      <c r="H33" s="223"/>
      <c r="I33" s="528">
        <f>(K26/H26)*(1+G33)</f>
        <v>17.799636363636363</v>
      </c>
      <c r="J33" s="528"/>
      <c r="K33" s="546"/>
      <c r="M33" s="543"/>
      <c r="N33" s="544"/>
      <c r="O33" s="544"/>
      <c r="P33" s="544"/>
      <c r="Q33" s="544"/>
      <c r="R33" s="544"/>
      <c r="S33" s="544"/>
      <c r="T33" s="545"/>
    </row>
    <row r="34" spans="1:11" ht="17.25" customHeight="1">
      <c r="A34" s="401" t="s">
        <v>11</v>
      </c>
      <c r="B34" s="491" t="s">
        <v>22</v>
      </c>
      <c r="C34" s="491"/>
      <c r="D34" s="491"/>
      <c r="E34" s="491"/>
      <c r="F34" s="491"/>
      <c r="G34" s="491"/>
      <c r="H34" s="491"/>
      <c r="I34" s="491"/>
      <c r="J34" s="491"/>
      <c r="K34" s="402"/>
    </row>
    <row r="35" spans="1:11" ht="17.25" customHeight="1">
      <c r="A35" s="458" t="s">
        <v>23</v>
      </c>
      <c r="B35" s="458"/>
      <c r="C35" s="458"/>
      <c r="D35" s="458"/>
      <c r="E35" s="458"/>
      <c r="F35" s="458"/>
      <c r="G35" s="458"/>
      <c r="H35" s="458"/>
      <c r="I35" s="458"/>
      <c r="J35" s="458"/>
      <c r="K35" s="224">
        <f>ROUND(SUM(K26:K34),2)</f>
        <v>5090.7</v>
      </c>
    </row>
    <row r="36" spans="1:11" ht="6.75" customHeight="1">
      <c r="A36" s="457"/>
      <c r="B36" s="457"/>
      <c r="C36" s="457"/>
      <c r="D36" s="457"/>
      <c r="E36" s="457"/>
      <c r="F36" s="457"/>
      <c r="G36" s="457"/>
      <c r="H36" s="457"/>
      <c r="I36" s="457"/>
      <c r="J36" s="457"/>
      <c r="K36" s="457"/>
    </row>
    <row r="37" spans="1:11" ht="17.25" customHeight="1">
      <c r="A37" s="458" t="s">
        <v>24</v>
      </c>
      <c r="B37" s="458"/>
      <c r="C37" s="458"/>
      <c r="D37" s="458"/>
      <c r="E37" s="458"/>
      <c r="F37" s="458"/>
      <c r="G37" s="458"/>
      <c r="H37" s="458"/>
      <c r="I37" s="458"/>
      <c r="J37" s="458"/>
      <c r="K37" s="458"/>
    </row>
    <row r="38" spans="1:13" ht="17.25" customHeight="1">
      <c r="A38" s="455" t="s">
        <v>121</v>
      </c>
      <c r="B38" s="455"/>
      <c r="C38" s="455"/>
      <c r="D38" s="455"/>
      <c r="E38" s="455"/>
      <c r="F38" s="455"/>
      <c r="G38" s="455"/>
      <c r="H38" s="455"/>
      <c r="I38" s="455"/>
      <c r="J38" s="455"/>
      <c r="K38" s="455"/>
      <c r="M38" s="118"/>
    </row>
    <row r="39" spans="1:20" s="119" customFormat="1" ht="17.25" customHeight="1">
      <c r="A39" s="498"/>
      <c r="B39" s="498"/>
      <c r="C39" s="498"/>
      <c r="D39" s="498"/>
      <c r="E39" s="498"/>
      <c r="F39" s="498"/>
      <c r="G39" s="498"/>
      <c r="H39" s="498"/>
      <c r="I39" s="458" t="s">
        <v>25</v>
      </c>
      <c r="J39" s="458"/>
      <c r="K39" s="398" t="s">
        <v>20</v>
      </c>
      <c r="M39" s="116"/>
      <c r="N39" s="116"/>
      <c r="O39" s="116"/>
      <c r="P39" s="116"/>
      <c r="Q39" s="116"/>
      <c r="R39" s="116"/>
      <c r="S39" s="116"/>
      <c r="T39" s="116"/>
    </row>
    <row r="40" spans="1:20" ht="17.25" customHeight="1">
      <c r="A40" s="401" t="s">
        <v>1</v>
      </c>
      <c r="B40" s="465" t="s">
        <v>122</v>
      </c>
      <c r="C40" s="465"/>
      <c r="D40" s="465"/>
      <c r="E40" s="465"/>
      <c r="F40" s="465"/>
      <c r="G40" s="465"/>
      <c r="H40" s="465"/>
      <c r="I40" s="501">
        <f>ROUND(1/12,4)</f>
        <v>0.0833</v>
      </c>
      <c r="J40" s="501"/>
      <c r="K40" s="405">
        <f>ROUND(I40*$K$35,2)</f>
        <v>424.06</v>
      </c>
      <c r="M40" s="529" t="s">
        <v>249</v>
      </c>
      <c r="N40" s="530"/>
      <c r="O40" s="530"/>
      <c r="P40" s="530"/>
      <c r="Q40" s="530"/>
      <c r="R40" s="530"/>
      <c r="S40" s="530"/>
      <c r="T40" s="531"/>
    </row>
    <row r="41" spans="1:20" ht="17.25" customHeight="1">
      <c r="A41" s="401" t="s">
        <v>3</v>
      </c>
      <c r="B41" s="503" t="s">
        <v>26</v>
      </c>
      <c r="C41" s="503"/>
      <c r="D41" s="503"/>
      <c r="E41" s="503"/>
      <c r="F41" s="503"/>
      <c r="G41" s="503"/>
      <c r="H41" s="503"/>
      <c r="I41" s="501">
        <f>ROUND(1/3/12,4)</f>
        <v>0.0278</v>
      </c>
      <c r="J41" s="501"/>
      <c r="K41" s="405">
        <f>ROUND(I41*$K$35,2)</f>
        <v>141.52</v>
      </c>
      <c r="M41" s="532"/>
      <c r="N41" s="533"/>
      <c r="O41" s="533"/>
      <c r="P41" s="533"/>
      <c r="Q41" s="533"/>
      <c r="R41" s="533"/>
      <c r="S41" s="533"/>
      <c r="T41" s="534"/>
    </row>
    <row r="42" spans="1:20" ht="17.25" customHeight="1">
      <c r="A42" s="225" t="s">
        <v>5</v>
      </c>
      <c r="B42" s="502" t="s">
        <v>141</v>
      </c>
      <c r="C42" s="502"/>
      <c r="D42" s="502"/>
      <c r="E42" s="502"/>
      <c r="F42" s="502"/>
      <c r="G42" s="502"/>
      <c r="H42" s="502"/>
      <c r="I42" s="501">
        <f>ROUND(1/12,4)</f>
        <v>0.0833</v>
      </c>
      <c r="J42" s="501"/>
      <c r="K42" s="410">
        <f>ROUND(I42*$K$35,2)</f>
        <v>424.06</v>
      </c>
      <c r="M42" s="535"/>
      <c r="N42" s="536"/>
      <c r="O42" s="536"/>
      <c r="P42" s="536"/>
      <c r="Q42" s="536"/>
      <c r="R42" s="536"/>
      <c r="S42" s="536"/>
      <c r="T42" s="537"/>
    </row>
    <row r="43" spans="1:11" ht="17.25" customHeight="1">
      <c r="A43" s="455" t="s">
        <v>27</v>
      </c>
      <c r="B43" s="455"/>
      <c r="C43" s="455"/>
      <c r="D43" s="455"/>
      <c r="E43" s="455"/>
      <c r="F43" s="455"/>
      <c r="G43" s="455"/>
      <c r="H43" s="455"/>
      <c r="I43" s="497">
        <f>SUM(I40:J42)</f>
        <v>0.19440000000000002</v>
      </c>
      <c r="J43" s="497"/>
      <c r="K43" s="226">
        <f>ROUND(SUM(K40:K42),2)</f>
        <v>989.64</v>
      </c>
    </row>
    <row r="44" spans="1:11" ht="6.75" customHeight="1">
      <c r="A44" s="476"/>
      <c r="B44" s="476"/>
      <c r="C44" s="476"/>
      <c r="D44" s="476"/>
      <c r="E44" s="476"/>
      <c r="F44" s="476"/>
      <c r="G44" s="476"/>
      <c r="H44" s="476"/>
      <c r="I44" s="476"/>
      <c r="J44" s="476"/>
      <c r="K44" s="476"/>
    </row>
    <row r="45" spans="1:11" ht="17.25" customHeight="1">
      <c r="A45" s="455" t="s">
        <v>28</v>
      </c>
      <c r="B45" s="455"/>
      <c r="C45" s="455"/>
      <c r="D45" s="455"/>
      <c r="E45" s="455"/>
      <c r="F45" s="455"/>
      <c r="G45" s="455"/>
      <c r="H45" s="455"/>
      <c r="I45" s="455"/>
      <c r="J45" s="455"/>
      <c r="K45" s="455"/>
    </row>
    <row r="46" spans="1:11" ht="17.25" customHeight="1">
      <c r="A46" s="500" t="s">
        <v>68</v>
      </c>
      <c r="B46" s="500"/>
      <c r="C46" s="500"/>
      <c r="D46" s="500"/>
      <c r="E46" s="500"/>
      <c r="F46" s="500"/>
      <c r="G46" s="500"/>
      <c r="H46" s="500"/>
      <c r="I46" s="500"/>
      <c r="J46" s="500"/>
      <c r="K46" s="226">
        <f>K35</f>
        <v>5090.7</v>
      </c>
    </row>
    <row r="47" spans="1:11" ht="17.25" customHeight="1">
      <c r="A47" s="499" t="s">
        <v>79</v>
      </c>
      <c r="B47" s="499"/>
      <c r="C47" s="499"/>
      <c r="D47" s="499"/>
      <c r="E47" s="499"/>
      <c r="F47" s="499"/>
      <c r="G47" s="499"/>
      <c r="H47" s="499"/>
      <c r="I47" s="499"/>
      <c r="J47" s="499"/>
      <c r="K47" s="226">
        <f>K43</f>
        <v>989.64</v>
      </c>
    </row>
    <row r="48" spans="1:11" ht="17.25" customHeight="1">
      <c r="A48" s="499" t="s">
        <v>80</v>
      </c>
      <c r="B48" s="499"/>
      <c r="C48" s="499"/>
      <c r="D48" s="499"/>
      <c r="E48" s="499"/>
      <c r="F48" s="499"/>
      <c r="G48" s="499"/>
      <c r="H48" s="499"/>
      <c r="I48" s="499"/>
      <c r="J48" s="499"/>
      <c r="K48" s="226">
        <f>SUM(K46:K47)</f>
        <v>6080.34</v>
      </c>
    </row>
    <row r="49" spans="1:20" s="119" customFormat="1" ht="17.25" customHeight="1">
      <c r="A49" s="498"/>
      <c r="B49" s="498"/>
      <c r="C49" s="498"/>
      <c r="D49" s="498"/>
      <c r="E49" s="498"/>
      <c r="F49" s="498"/>
      <c r="G49" s="498"/>
      <c r="H49" s="498"/>
      <c r="I49" s="458" t="s">
        <v>25</v>
      </c>
      <c r="J49" s="458"/>
      <c r="K49" s="398" t="s">
        <v>20</v>
      </c>
      <c r="M49" s="120"/>
      <c r="N49" s="120"/>
      <c r="O49" s="120"/>
      <c r="P49" s="120"/>
      <c r="Q49" s="120"/>
      <c r="R49" s="120"/>
      <c r="S49" s="116"/>
      <c r="T49" s="116"/>
    </row>
    <row r="50" spans="1:11" ht="17.25" customHeight="1">
      <c r="A50" s="401" t="s">
        <v>1</v>
      </c>
      <c r="B50" s="465" t="s">
        <v>144</v>
      </c>
      <c r="C50" s="465"/>
      <c r="D50" s="465"/>
      <c r="E50" s="465"/>
      <c r="F50" s="465"/>
      <c r="G50" s="465"/>
      <c r="H50" s="465"/>
      <c r="I50" s="464">
        <f>'Item 1.1'!I50:J50</f>
        <v>0.2</v>
      </c>
      <c r="J50" s="464"/>
      <c r="K50" s="405">
        <f>ROUND(I50*$K$48,2)</f>
        <v>1216.07</v>
      </c>
    </row>
    <row r="51" spans="1:11" ht="17.25" customHeight="1">
      <c r="A51" s="401" t="s">
        <v>3</v>
      </c>
      <c r="B51" s="465" t="s">
        <v>145</v>
      </c>
      <c r="C51" s="465"/>
      <c r="D51" s="465"/>
      <c r="E51" s="465"/>
      <c r="F51" s="465"/>
      <c r="G51" s="465"/>
      <c r="H51" s="465"/>
      <c r="I51" s="464">
        <v>0.025</v>
      </c>
      <c r="J51" s="464"/>
      <c r="K51" s="405">
        <f>ROUND(I51*$K$48,2)</f>
        <v>152.01</v>
      </c>
    </row>
    <row r="52" spans="1:20" ht="17.25" customHeight="1">
      <c r="A52" s="493" t="s">
        <v>5</v>
      </c>
      <c r="B52" s="527" t="s">
        <v>146</v>
      </c>
      <c r="C52" s="527"/>
      <c r="D52" s="527"/>
      <c r="E52" s="527"/>
      <c r="F52" s="527"/>
      <c r="G52" s="227" t="s">
        <v>118</v>
      </c>
      <c r="H52" s="227" t="s">
        <v>119</v>
      </c>
      <c r="I52" s="501">
        <f>(G53*H53)*100</f>
        <v>0.03</v>
      </c>
      <c r="J52" s="501"/>
      <c r="K52" s="492">
        <f>ROUND(I52*K48,2)</f>
        <v>182.41</v>
      </c>
      <c r="M52" s="484" t="s">
        <v>260</v>
      </c>
      <c r="N52" s="485"/>
      <c r="O52" s="485"/>
      <c r="P52" s="485"/>
      <c r="Q52" s="485"/>
      <c r="R52" s="485"/>
      <c r="S52" s="485"/>
      <c r="T52" s="486"/>
    </row>
    <row r="53" spans="1:20" ht="17.25" customHeight="1">
      <c r="A53" s="493"/>
      <c r="B53" s="527"/>
      <c r="C53" s="527"/>
      <c r="D53" s="527"/>
      <c r="E53" s="527"/>
      <c r="F53" s="527"/>
      <c r="G53" s="408">
        <f>'Item 1.1'!G53</f>
        <v>0.03</v>
      </c>
      <c r="H53" s="408">
        <v>0.01</v>
      </c>
      <c r="I53" s="501"/>
      <c r="J53" s="501"/>
      <c r="K53" s="492"/>
      <c r="M53" s="487"/>
      <c r="N53" s="488"/>
      <c r="O53" s="488"/>
      <c r="P53" s="488"/>
      <c r="Q53" s="488"/>
      <c r="R53" s="488"/>
      <c r="S53" s="488"/>
      <c r="T53" s="489"/>
    </row>
    <row r="54" spans="1:11" ht="17.25" customHeight="1">
      <c r="A54" s="401" t="s">
        <v>6</v>
      </c>
      <c r="B54" s="465" t="s">
        <v>147</v>
      </c>
      <c r="C54" s="465"/>
      <c r="D54" s="465"/>
      <c r="E54" s="465"/>
      <c r="F54" s="465"/>
      <c r="G54" s="465"/>
      <c r="H54" s="465"/>
      <c r="I54" s="464">
        <v>0.015</v>
      </c>
      <c r="J54" s="464"/>
      <c r="K54" s="405">
        <f>ROUND(I54*$K$48,2)</f>
        <v>91.21</v>
      </c>
    </row>
    <row r="55" spans="1:11" ht="17.25" customHeight="1">
      <c r="A55" s="401" t="s">
        <v>8</v>
      </c>
      <c r="B55" s="465" t="s">
        <v>148</v>
      </c>
      <c r="C55" s="465"/>
      <c r="D55" s="465"/>
      <c r="E55" s="465"/>
      <c r="F55" s="465"/>
      <c r="G55" s="465"/>
      <c r="H55" s="465"/>
      <c r="I55" s="464">
        <v>0.01</v>
      </c>
      <c r="J55" s="464"/>
      <c r="K55" s="405">
        <f>ROUND(I55*$K$48,2)</f>
        <v>60.8</v>
      </c>
    </row>
    <row r="56" spans="1:11" ht="17.25" customHeight="1">
      <c r="A56" s="401" t="s">
        <v>10</v>
      </c>
      <c r="B56" s="465" t="s">
        <v>149</v>
      </c>
      <c r="C56" s="465"/>
      <c r="D56" s="465"/>
      <c r="E56" s="465"/>
      <c r="F56" s="465"/>
      <c r="G56" s="465"/>
      <c r="H56" s="465"/>
      <c r="I56" s="464">
        <v>0.006</v>
      </c>
      <c r="J56" s="464"/>
      <c r="K56" s="405">
        <f>ROUND(I56*$K$48,2)</f>
        <v>36.48</v>
      </c>
    </row>
    <row r="57" spans="1:11" ht="17.25" customHeight="1">
      <c r="A57" s="401" t="s">
        <v>11</v>
      </c>
      <c r="B57" s="465" t="s">
        <v>150</v>
      </c>
      <c r="C57" s="465"/>
      <c r="D57" s="465"/>
      <c r="E57" s="465"/>
      <c r="F57" s="465"/>
      <c r="G57" s="465"/>
      <c r="H57" s="465"/>
      <c r="I57" s="464">
        <v>0.002</v>
      </c>
      <c r="J57" s="464"/>
      <c r="K57" s="405">
        <f>ROUND(I57*$K$48,2)</f>
        <v>12.16</v>
      </c>
    </row>
    <row r="58" spans="1:11" ht="17.25" customHeight="1">
      <c r="A58" s="401" t="s">
        <v>12</v>
      </c>
      <c r="B58" s="465" t="s">
        <v>151</v>
      </c>
      <c r="C58" s="465"/>
      <c r="D58" s="465"/>
      <c r="E58" s="465"/>
      <c r="F58" s="465"/>
      <c r="G58" s="465"/>
      <c r="H58" s="465"/>
      <c r="I58" s="464">
        <v>0.08</v>
      </c>
      <c r="J58" s="464"/>
      <c r="K58" s="405">
        <f>ROUND(I58*$K$48,2)</f>
        <v>486.43</v>
      </c>
    </row>
    <row r="59" spans="1:11" ht="17.25" customHeight="1">
      <c r="A59" s="455" t="s">
        <v>29</v>
      </c>
      <c r="B59" s="455"/>
      <c r="C59" s="455"/>
      <c r="D59" s="455"/>
      <c r="E59" s="455"/>
      <c r="F59" s="455"/>
      <c r="G59" s="455"/>
      <c r="H59" s="455"/>
      <c r="I59" s="497">
        <f>SUM(I50:J58)</f>
        <v>0.36800000000000005</v>
      </c>
      <c r="J59" s="497"/>
      <c r="K59" s="226">
        <f>ROUND(SUM(K50:K58),2)</f>
        <v>2237.57</v>
      </c>
    </row>
    <row r="60" spans="1:11" ht="5.25" customHeight="1">
      <c r="A60" s="463"/>
      <c r="B60" s="463"/>
      <c r="C60" s="463"/>
      <c r="D60" s="463"/>
      <c r="E60" s="463"/>
      <c r="F60" s="463"/>
      <c r="G60" s="463"/>
      <c r="H60" s="463"/>
      <c r="I60" s="463"/>
      <c r="J60" s="463"/>
      <c r="K60" s="463"/>
    </row>
    <row r="61" spans="1:20" ht="17.25" customHeight="1">
      <c r="A61" s="455" t="s">
        <v>30</v>
      </c>
      <c r="B61" s="455"/>
      <c r="C61" s="455"/>
      <c r="D61" s="455"/>
      <c r="E61" s="455"/>
      <c r="F61" s="455"/>
      <c r="G61" s="455"/>
      <c r="H61" s="455"/>
      <c r="I61" s="455"/>
      <c r="J61" s="455"/>
      <c r="K61" s="455"/>
      <c r="M61" s="504" t="s">
        <v>155</v>
      </c>
      <c r="N61" s="505"/>
      <c r="O61" s="505"/>
      <c r="P61" s="505"/>
      <c r="Q61" s="505"/>
      <c r="R61" s="505"/>
      <c r="S61" s="505"/>
      <c r="T61" s="506"/>
    </row>
    <row r="62" spans="1:20" ht="17.25" customHeight="1">
      <c r="A62" s="480"/>
      <c r="B62" s="480"/>
      <c r="C62" s="480"/>
      <c r="D62" s="480"/>
      <c r="E62" s="480"/>
      <c r="F62" s="480"/>
      <c r="G62" s="480"/>
      <c r="H62" s="480"/>
      <c r="I62" s="480"/>
      <c r="J62" s="480"/>
      <c r="K62" s="398" t="s">
        <v>20</v>
      </c>
      <c r="M62" s="507"/>
      <c r="N62" s="508"/>
      <c r="O62" s="508"/>
      <c r="P62" s="508"/>
      <c r="Q62" s="508"/>
      <c r="R62" s="508"/>
      <c r="S62" s="508"/>
      <c r="T62" s="509"/>
    </row>
    <row r="63" spans="1:11" ht="17.25" customHeight="1">
      <c r="A63" s="451" t="s">
        <v>1</v>
      </c>
      <c r="B63" s="482" t="s">
        <v>128</v>
      </c>
      <c r="C63" s="482"/>
      <c r="D63" s="482"/>
      <c r="E63" s="482"/>
      <c r="F63" s="482"/>
      <c r="G63" s="494"/>
      <c r="H63" s="494"/>
      <c r="I63" s="494"/>
      <c r="J63" s="494"/>
      <c r="K63" s="471">
        <f>ROUND((B65*E65*F65)-G65,2)</f>
        <v>101.64</v>
      </c>
    </row>
    <row r="64" spans="1:11" ht="17.25" customHeight="1">
      <c r="A64" s="451"/>
      <c r="B64" s="495" t="s">
        <v>34</v>
      </c>
      <c r="C64" s="495"/>
      <c r="D64" s="495"/>
      <c r="E64" s="401" t="s">
        <v>32</v>
      </c>
      <c r="F64" s="407" t="s">
        <v>35</v>
      </c>
      <c r="G64" s="495" t="s">
        <v>139</v>
      </c>
      <c r="H64" s="495"/>
      <c r="I64" s="495"/>
      <c r="J64" s="495"/>
      <c r="K64" s="471"/>
    </row>
    <row r="65" spans="1:11" ht="17.25" customHeight="1">
      <c r="A65" s="451"/>
      <c r="B65" s="483">
        <v>2</v>
      </c>
      <c r="C65" s="483"/>
      <c r="D65" s="483"/>
      <c r="E65" s="243">
        <v>22</v>
      </c>
      <c r="F65" s="402">
        <v>7.65</v>
      </c>
      <c r="G65" s="471">
        <f>0.06*K26</f>
        <v>234.9552</v>
      </c>
      <c r="H65" s="471"/>
      <c r="I65" s="471"/>
      <c r="J65" s="471"/>
      <c r="K65" s="471"/>
    </row>
    <row r="66" spans="1:20" ht="17.25" customHeight="1">
      <c r="A66" s="451" t="s">
        <v>3</v>
      </c>
      <c r="B66" s="463" t="s">
        <v>81</v>
      </c>
      <c r="C66" s="463"/>
      <c r="D66" s="463"/>
      <c r="E66" s="463"/>
      <c r="F66" s="463"/>
      <c r="G66" s="494" t="s">
        <v>583</v>
      </c>
      <c r="H66" s="494"/>
      <c r="I66" s="494"/>
      <c r="J66" s="494"/>
      <c r="K66" s="471">
        <f>ROUND((B68-G68)*F68,2)</f>
        <v>576</v>
      </c>
      <c r="M66" s="510" t="s">
        <v>132</v>
      </c>
      <c r="N66" s="511"/>
      <c r="O66" s="511"/>
      <c r="P66" s="511"/>
      <c r="Q66" s="511"/>
      <c r="R66" s="511"/>
      <c r="S66" s="511"/>
      <c r="T66" s="512"/>
    </row>
    <row r="67" spans="1:20" ht="17.25" customHeight="1">
      <c r="A67" s="451"/>
      <c r="B67" s="451" t="s">
        <v>82</v>
      </c>
      <c r="C67" s="451"/>
      <c r="D67" s="451"/>
      <c r="E67" s="451"/>
      <c r="F67" s="401" t="s">
        <v>32</v>
      </c>
      <c r="G67" s="451" t="s">
        <v>131</v>
      </c>
      <c r="H67" s="451"/>
      <c r="I67" s="451"/>
      <c r="J67" s="451"/>
      <c r="K67" s="471"/>
      <c r="M67" s="513"/>
      <c r="N67" s="514"/>
      <c r="O67" s="514"/>
      <c r="P67" s="514"/>
      <c r="Q67" s="514"/>
      <c r="R67" s="514"/>
      <c r="S67" s="514"/>
      <c r="T67" s="515"/>
    </row>
    <row r="68" spans="1:20" ht="17.25" customHeight="1">
      <c r="A68" s="451"/>
      <c r="B68" s="496">
        <f>'Item 1.2'!B68:E68</f>
        <v>27.56</v>
      </c>
      <c r="C68" s="496"/>
      <c r="D68" s="496"/>
      <c r="E68" s="496"/>
      <c r="F68" s="243">
        <f>E65</f>
        <v>22</v>
      </c>
      <c r="G68" s="526">
        <f>B68*5%</f>
        <v>1.3780000000000001</v>
      </c>
      <c r="H68" s="526"/>
      <c r="I68" s="526"/>
      <c r="J68" s="526"/>
      <c r="K68" s="471"/>
      <c r="M68" s="516"/>
      <c r="N68" s="517"/>
      <c r="O68" s="517"/>
      <c r="P68" s="517"/>
      <c r="Q68" s="517"/>
      <c r="R68" s="517"/>
      <c r="S68" s="517"/>
      <c r="T68" s="518"/>
    </row>
    <row r="69" spans="1:11" ht="17.25" customHeight="1">
      <c r="A69" s="451" t="s">
        <v>5</v>
      </c>
      <c r="B69" s="463" t="s">
        <v>31</v>
      </c>
      <c r="C69" s="463"/>
      <c r="D69" s="463"/>
      <c r="E69" s="463"/>
      <c r="F69" s="463"/>
      <c r="G69" s="494" t="s">
        <v>583</v>
      </c>
      <c r="H69" s="494"/>
      <c r="I69" s="494"/>
      <c r="J69" s="494"/>
      <c r="K69" s="405"/>
    </row>
    <row r="70" spans="1:11" ht="17.25" customHeight="1">
      <c r="A70" s="451"/>
      <c r="B70" s="451" t="s">
        <v>82</v>
      </c>
      <c r="C70" s="451"/>
      <c r="D70" s="451"/>
      <c r="E70" s="451"/>
      <c r="F70" s="451"/>
      <c r="G70" s="451" t="s">
        <v>33</v>
      </c>
      <c r="H70" s="451"/>
      <c r="I70" s="451"/>
      <c r="J70" s="451"/>
      <c r="K70" s="471">
        <f>B71-G71</f>
        <v>0</v>
      </c>
    </row>
    <row r="71" spans="1:11" ht="17.25" customHeight="1">
      <c r="A71" s="451"/>
      <c r="B71" s="494"/>
      <c r="C71" s="494"/>
      <c r="D71" s="494"/>
      <c r="E71" s="494"/>
      <c r="F71" s="494"/>
      <c r="G71" s="494">
        <v>0</v>
      </c>
      <c r="H71" s="494"/>
      <c r="I71" s="494"/>
      <c r="J71" s="494"/>
      <c r="K71" s="471"/>
    </row>
    <row r="72" spans="1:11" ht="17.25" customHeight="1">
      <c r="A72" s="401" t="s">
        <v>6</v>
      </c>
      <c r="B72" s="526" t="s">
        <v>83</v>
      </c>
      <c r="C72" s="526"/>
      <c r="D72" s="526"/>
      <c r="E72" s="526"/>
      <c r="F72" s="526"/>
      <c r="G72" s="526"/>
      <c r="H72" s="526"/>
      <c r="I72" s="526"/>
      <c r="J72" s="526"/>
      <c r="K72" s="402"/>
    </row>
    <row r="73" spans="1:11" ht="17.25" customHeight="1">
      <c r="A73" s="455" t="s">
        <v>36</v>
      </c>
      <c r="B73" s="455"/>
      <c r="C73" s="455"/>
      <c r="D73" s="455"/>
      <c r="E73" s="455"/>
      <c r="F73" s="455"/>
      <c r="G73" s="455"/>
      <c r="H73" s="455"/>
      <c r="I73" s="455"/>
      <c r="J73" s="455"/>
      <c r="K73" s="226">
        <f>ROUND(SUM(K63:K72),2)</f>
        <v>677.64</v>
      </c>
    </row>
    <row r="74" spans="1:11" ht="17.25" customHeight="1">
      <c r="A74" s="458" t="s">
        <v>37</v>
      </c>
      <c r="B74" s="458"/>
      <c r="C74" s="458"/>
      <c r="D74" s="458"/>
      <c r="E74" s="458"/>
      <c r="F74" s="458"/>
      <c r="G74" s="458"/>
      <c r="H74" s="458"/>
      <c r="I74" s="458"/>
      <c r="J74" s="458"/>
      <c r="K74" s="224">
        <f>ROUND(SUM(K73,K59,K43),2)</f>
        <v>3904.85</v>
      </c>
    </row>
    <row r="75" spans="1:11" ht="6.75" customHeight="1">
      <c r="A75" s="457"/>
      <c r="B75" s="457"/>
      <c r="C75" s="457"/>
      <c r="D75" s="457"/>
      <c r="E75" s="457"/>
      <c r="F75" s="457"/>
      <c r="G75" s="457"/>
      <c r="H75" s="457"/>
      <c r="I75" s="457"/>
      <c r="J75" s="457"/>
      <c r="K75" s="457"/>
    </row>
    <row r="76" spans="1:20" ht="17.25" customHeight="1">
      <c r="A76" s="520" t="s">
        <v>38</v>
      </c>
      <c r="B76" s="520"/>
      <c r="C76" s="520"/>
      <c r="D76" s="520"/>
      <c r="E76" s="520"/>
      <c r="F76" s="520"/>
      <c r="G76" s="520"/>
      <c r="H76" s="520"/>
      <c r="I76" s="520"/>
      <c r="J76" s="520"/>
      <c r="K76" s="520"/>
      <c r="M76" s="479"/>
      <c r="N76" s="479"/>
      <c r="O76" s="479"/>
      <c r="P76" s="479"/>
      <c r="Q76" s="479"/>
      <c r="R76" s="479"/>
      <c r="S76" s="479"/>
      <c r="T76" s="479"/>
    </row>
    <row r="77" spans="1:20" ht="17.25" customHeight="1">
      <c r="A77" s="455" t="s">
        <v>250</v>
      </c>
      <c r="B77" s="455"/>
      <c r="C77" s="455"/>
      <c r="D77" s="455"/>
      <c r="E77" s="455"/>
      <c r="F77" s="455"/>
      <c r="G77" s="455"/>
      <c r="H77" s="455"/>
      <c r="I77" s="455"/>
      <c r="J77" s="455"/>
      <c r="K77" s="455"/>
      <c r="M77" s="479"/>
      <c r="N77" s="479"/>
      <c r="O77" s="479"/>
      <c r="P77" s="479"/>
      <c r="Q77" s="479"/>
      <c r="R77" s="479"/>
      <c r="S77" s="479"/>
      <c r="T77" s="479"/>
    </row>
    <row r="78" spans="1:20" ht="17.25" customHeight="1">
      <c r="A78" s="453" t="s">
        <v>68</v>
      </c>
      <c r="B78" s="453"/>
      <c r="C78" s="453"/>
      <c r="D78" s="453"/>
      <c r="E78" s="453"/>
      <c r="F78" s="453"/>
      <c r="G78" s="453"/>
      <c r="H78" s="453"/>
      <c r="I78" s="453"/>
      <c r="J78" s="453"/>
      <c r="K78" s="233">
        <f>K35</f>
        <v>5090.7</v>
      </c>
      <c r="M78" s="479"/>
      <c r="N78" s="479"/>
      <c r="O78" s="479"/>
      <c r="P78" s="479"/>
      <c r="Q78" s="479"/>
      <c r="R78" s="479"/>
      <c r="S78" s="479"/>
      <c r="T78" s="479"/>
    </row>
    <row r="79" spans="1:20" ht="17.25" customHeight="1">
      <c r="A79" s="453" t="s">
        <v>251</v>
      </c>
      <c r="B79" s="453"/>
      <c r="C79" s="453"/>
      <c r="D79" s="453"/>
      <c r="E79" s="453"/>
      <c r="F79" s="453"/>
      <c r="G79" s="453"/>
      <c r="H79" s="453"/>
      <c r="I79" s="453"/>
      <c r="J79" s="453"/>
      <c r="K79" s="233">
        <f>K43</f>
        <v>989.64</v>
      </c>
      <c r="M79" s="479"/>
      <c r="N79" s="479"/>
      <c r="O79" s="479"/>
      <c r="P79" s="479"/>
      <c r="Q79" s="479"/>
      <c r="R79" s="479"/>
      <c r="S79" s="479"/>
      <c r="T79" s="479"/>
    </row>
    <row r="80" spans="1:20" ht="17.25" customHeight="1">
      <c r="A80" s="453" t="s">
        <v>703</v>
      </c>
      <c r="B80" s="453"/>
      <c r="C80" s="453"/>
      <c r="D80" s="453"/>
      <c r="E80" s="453"/>
      <c r="F80" s="453"/>
      <c r="G80" s="453"/>
      <c r="H80" s="453"/>
      <c r="I80" s="453"/>
      <c r="J80" s="453"/>
      <c r="K80" s="233">
        <f>K58</f>
        <v>486.43</v>
      </c>
      <c r="M80" s="479"/>
      <c r="N80" s="479"/>
      <c r="O80" s="479"/>
      <c r="P80" s="479"/>
      <c r="Q80" s="479"/>
      <c r="R80" s="479"/>
      <c r="S80" s="479"/>
      <c r="T80" s="479"/>
    </row>
    <row r="81" spans="1:20" ht="17.25" customHeight="1">
      <c r="A81" s="453" t="s">
        <v>30</v>
      </c>
      <c r="B81" s="453"/>
      <c r="C81" s="453"/>
      <c r="D81" s="453"/>
      <c r="E81" s="453"/>
      <c r="F81" s="453"/>
      <c r="G81" s="453"/>
      <c r="H81" s="453"/>
      <c r="I81" s="453"/>
      <c r="J81" s="453"/>
      <c r="K81" s="233">
        <f>K73</f>
        <v>677.64</v>
      </c>
      <c r="M81" s="479"/>
      <c r="N81" s="479"/>
      <c r="O81" s="479"/>
      <c r="P81" s="479"/>
      <c r="Q81" s="479"/>
      <c r="R81" s="479"/>
      <c r="S81" s="479"/>
      <c r="T81" s="479"/>
    </row>
    <row r="82" spans="1:20" ht="17.25" customHeight="1">
      <c r="A82" s="453" t="s">
        <v>704</v>
      </c>
      <c r="B82" s="453"/>
      <c r="C82" s="453"/>
      <c r="D82" s="453"/>
      <c r="E82" s="453"/>
      <c r="F82" s="453"/>
      <c r="G82" s="453"/>
      <c r="H82" s="453"/>
      <c r="I82" s="453"/>
      <c r="J82" s="453"/>
      <c r="K82" s="233">
        <f>SUM(K78:K81)</f>
        <v>7244.410000000001</v>
      </c>
      <c r="M82" s="479"/>
      <c r="N82" s="479"/>
      <c r="O82" s="479"/>
      <c r="P82" s="479"/>
      <c r="Q82" s="479"/>
      <c r="R82" s="479"/>
      <c r="S82" s="479"/>
      <c r="T82" s="479"/>
    </row>
    <row r="83" spans="1:20" ht="17.25" customHeight="1">
      <c r="A83" s="453" t="s">
        <v>252</v>
      </c>
      <c r="B83" s="453"/>
      <c r="C83" s="453"/>
      <c r="D83" s="453"/>
      <c r="E83" s="453"/>
      <c r="F83" s="453"/>
      <c r="G83" s="453"/>
      <c r="H83" s="453"/>
      <c r="I83" s="453"/>
      <c r="J83" s="453"/>
      <c r="K83" s="233">
        <f>ROUND(K82/12,2)</f>
        <v>603.7</v>
      </c>
      <c r="M83" s="479"/>
      <c r="N83" s="479"/>
      <c r="O83" s="479"/>
      <c r="P83" s="479"/>
      <c r="Q83" s="479"/>
      <c r="R83" s="479"/>
      <c r="S83" s="479"/>
      <c r="T83" s="479"/>
    </row>
    <row r="84" spans="1:20" ht="17.25" customHeight="1">
      <c r="A84" s="453" t="s">
        <v>705</v>
      </c>
      <c r="B84" s="453"/>
      <c r="C84" s="453"/>
      <c r="D84" s="453"/>
      <c r="E84" s="453"/>
      <c r="F84" s="453"/>
      <c r="G84" s="453"/>
      <c r="H84" s="453"/>
      <c r="I84" s="453"/>
      <c r="J84" s="453"/>
      <c r="K84" s="233">
        <f>ROUND(K80*40%,2)</f>
        <v>194.57</v>
      </c>
      <c r="M84" s="479"/>
      <c r="N84" s="479"/>
      <c r="O84" s="479"/>
      <c r="P84" s="479"/>
      <c r="Q84" s="479"/>
      <c r="R84" s="479"/>
      <c r="S84" s="479"/>
      <c r="T84" s="479"/>
    </row>
    <row r="85" spans="1:20" ht="17.25" customHeight="1">
      <c r="A85" s="451" t="s">
        <v>253</v>
      </c>
      <c r="B85" s="451"/>
      <c r="C85" s="451"/>
      <c r="D85" s="451"/>
      <c r="E85" s="451"/>
      <c r="F85" s="451"/>
      <c r="G85" s="451"/>
      <c r="H85" s="451"/>
      <c r="I85" s="451"/>
      <c r="J85" s="451"/>
      <c r="K85" s="405">
        <f>ROUND(K83+K84,2)</f>
        <v>798.27</v>
      </c>
      <c r="M85" s="479"/>
      <c r="N85" s="479"/>
      <c r="O85" s="479"/>
      <c r="P85" s="479"/>
      <c r="Q85" s="479"/>
      <c r="R85" s="479"/>
      <c r="S85" s="479"/>
      <c r="T85" s="479"/>
    </row>
    <row r="86" spans="1:20" ht="17.25" customHeight="1">
      <c r="A86" s="451" t="s">
        <v>256</v>
      </c>
      <c r="B86" s="451"/>
      <c r="C86" s="451"/>
      <c r="D86" s="451"/>
      <c r="E86" s="451"/>
      <c r="F86" s="451"/>
      <c r="G86" s="451"/>
      <c r="H86" s="463" t="s">
        <v>254</v>
      </c>
      <c r="I86" s="463"/>
      <c r="J86" s="463"/>
      <c r="K86" s="234" t="s">
        <v>255</v>
      </c>
      <c r="M86" s="479"/>
      <c r="N86" s="479"/>
      <c r="O86" s="479"/>
      <c r="P86" s="479"/>
      <c r="Q86" s="479"/>
      <c r="R86" s="479"/>
      <c r="S86" s="479"/>
      <c r="T86" s="479"/>
    </row>
    <row r="87" spans="1:20" ht="17.25" customHeight="1">
      <c r="A87" s="451"/>
      <c r="B87" s="451"/>
      <c r="C87" s="451"/>
      <c r="D87" s="451"/>
      <c r="E87" s="451"/>
      <c r="F87" s="451"/>
      <c r="G87" s="451"/>
      <c r="H87" s="464">
        <f>'Item 1.1'!H87:J87</f>
        <v>0.5</v>
      </c>
      <c r="I87" s="464"/>
      <c r="J87" s="464"/>
      <c r="K87" s="405">
        <f>ROUND(H87*K85,2)</f>
        <v>399.14</v>
      </c>
      <c r="M87" s="479"/>
      <c r="N87" s="479"/>
      <c r="O87" s="479"/>
      <c r="P87" s="479"/>
      <c r="Q87" s="479"/>
      <c r="R87" s="479"/>
      <c r="S87" s="479"/>
      <c r="T87" s="479"/>
    </row>
    <row r="88" spans="1:20" ht="17.25" customHeight="1">
      <c r="A88" s="455" t="s">
        <v>706</v>
      </c>
      <c r="B88" s="455"/>
      <c r="C88" s="455"/>
      <c r="D88" s="455"/>
      <c r="E88" s="455"/>
      <c r="F88" s="455"/>
      <c r="G88" s="455"/>
      <c r="H88" s="455"/>
      <c r="I88" s="455"/>
      <c r="J88" s="455"/>
      <c r="K88" s="226">
        <f>ROUND(K87,2)</f>
        <v>399.14</v>
      </c>
      <c r="M88" s="479"/>
      <c r="N88" s="479"/>
      <c r="O88" s="479"/>
      <c r="P88" s="479"/>
      <c r="Q88" s="479"/>
      <c r="R88" s="479"/>
      <c r="S88" s="479"/>
      <c r="T88" s="479"/>
    </row>
    <row r="89" spans="1:20" ht="17.25" customHeight="1">
      <c r="A89" s="459" t="s">
        <v>257</v>
      </c>
      <c r="B89" s="459"/>
      <c r="C89" s="459"/>
      <c r="D89" s="459"/>
      <c r="E89" s="459"/>
      <c r="F89" s="459"/>
      <c r="G89" s="459"/>
      <c r="H89" s="459"/>
      <c r="I89" s="459"/>
      <c r="J89" s="459"/>
      <c r="K89" s="459"/>
      <c r="M89" s="479"/>
      <c r="N89" s="479"/>
      <c r="O89" s="479"/>
      <c r="P89" s="479"/>
      <c r="Q89" s="479"/>
      <c r="R89" s="479"/>
      <c r="S89" s="479"/>
      <c r="T89" s="479"/>
    </row>
    <row r="90" spans="1:20" ht="17.25" customHeight="1">
      <c r="A90" s="453" t="s">
        <v>705</v>
      </c>
      <c r="B90" s="453"/>
      <c r="C90" s="453"/>
      <c r="D90" s="453"/>
      <c r="E90" s="453"/>
      <c r="F90" s="453"/>
      <c r="G90" s="453"/>
      <c r="H90" s="453"/>
      <c r="I90" s="453"/>
      <c r="J90" s="453"/>
      <c r="K90" s="233">
        <f>ROUND(K80*40%,2)</f>
        <v>194.57</v>
      </c>
      <c r="M90" s="479"/>
      <c r="N90" s="479"/>
      <c r="O90" s="479"/>
      <c r="P90" s="479"/>
      <c r="Q90" s="479"/>
      <c r="R90" s="479"/>
      <c r="S90" s="479"/>
      <c r="T90" s="479"/>
    </row>
    <row r="91" spans="1:20" ht="17.25" customHeight="1">
      <c r="A91" s="451" t="s">
        <v>258</v>
      </c>
      <c r="B91" s="451"/>
      <c r="C91" s="451"/>
      <c r="D91" s="451"/>
      <c r="E91" s="451"/>
      <c r="F91" s="451"/>
      <c r="G91" s="451"/>
      <c r="H91" s="451"/>
      <c r="I91" s="451"/>
      <c r="J91" s="451"/>
      <c r="K91" s="405">
        <f>K90</f>
        <v>194.57</v>
      </c>
      <c r="M91" s="479"/>
      <c r="N91" s="479"/>
      <c r="O91" s="479"/>
      <c r="P91" s="479"/>
      <c r="Q91" s="479"/>
      <c r="R91" s="479"/>
      <c r="S91" s="479"/>
      <c r="T91" s="479"/>
    </row>
    <row r="92" spans="1:20" ht="17.25" customHeight="1">
      <c r="A92" s="451" t="s">
        <v>259</v>
      </c>
      <c r="B92" s="451"/>
      <c r="C92" s="451"/>
      <c r="D92" s="451"/>
      <c r="E92" s="451"/>
      <c r="F92" s="451"/>
      <c r="G92" s="451"/>
      <c r="H92" s="463" t="s">
        <v>254</v>
      </c>
      <c r="I92" s="463"/>
      <c r="J92" s="463"/>
      <c r="K92" s="234" t="s">
        <v>255</v>
      </c>
      <c r="M92" s="479"/>
      <c r="N92" s="479"/>
      <c r="O92" s="479"/>
      <c r="P92" s="479"/>
      <c r="Q92" s="479"/>
      <c r="R92" s="479"/>
      <c r="S92" s="479"/>
      <c r="T92" s="479"/>
    </row>
    <row r="93" spans="1:20" ht="17.25" customHeight="1">
      <c r="A93" s="451"/>
      <c r="B93" s="451"/>
      <c r="C93" s="451"/>
      <c r="D93" s="451"/>
      <c r="E93" s="451"/>
      <c r="F93" s="451"/>
      <c r="G93" s="451"/>
      <c r="H93" s="464">
        <f>'Item 1.1'!H93:J93</f>
        <v>0.5</v>
      </c>
      <c r="I93" s="464"/>
      <c r="J93" s="464"/>
      <c r="K93" s="405">
        <f>ROUND(H93*K91,2)</f>
        <v>97.29</v>
      </c>
      <c r="M93" s="479"/>
      <c r="N93" s="479"/>
      <c r="O93" s="479"/>
      <c r="P93" s="479"/>
      <c r="Q93" s="479"/>
      <c r="R93" s="479"/>
      <c r="S93" s="479"/>
      <c r="T93" s="479"/>
    </row>
    <row r="94" spans="1:20" ht="17.25" customHeight="1">
      <c r="A94" s="455" t="s">
        <v>707</v>
      </c>
      <c r="B94" s="455"/>
      <c r="C94" s="455"/>
      <c r="D94" s="455"/>
      <c r="E94" s="455"/>
      <c r="F94" s="455"/>
      <c r="G94" s="455"/>
      <c r="H94" s="455"/>
      <c r="I94" s="455"/>
      <c r="J94" s="455"/>
      <c r="K94" s="226">
        <f>ROUND(K93,2)</f>
        <v>97.29</v>
      </c>
      <c r="M94" s="479"/>
      <c r="N94" s="479"/>
      <c r="O94" s="479"/>
      <c r="P94" s="479"/>
      <c r="Q94" s="479"/>
      <c r="R94" s="479"/>
      <c r="S94" s="479"/>
      <c r="T94" s="479"/>
    </row>
    <row r="95" spans="1:20" ht="17.25" customHeight="1">
      <c r="A95" s="459" t="s">
        <v>733</v>
      </c>
      <c r="B95" s="459"/>
      <c r="C95" s="459"/>
      <c r="D95" s="459"/>
      <c r="E95" s="459"/>
      <c r="F95" s="459"/>
      <c r="G95" s="459"/>
      <c r="H95" s="459"/>
      <c r="I95" s="459"/>
      <c r="J95" s="459"/>
      <c r="K95" s="459"/>
      <c r="M95" s="479"/>
      <c r="N95" s="479"/>
      <c r="O95" s="479"/>
      <c r="P95" s="479"/>
      <c r="Q95" s="479"/>
      <c r="R95" s="479"/>
      <c r="S95" s="479"/>
      <c r="T95" s="479"/>
    </row>
    <row r="96" spans="1:20" ht="17.25" customHeight="1">
      <c r="A96" s="460" t="s">
        <v>735</v>
      </c>
      <c r="B96" s="460"/>
      <c r="C96" s="460"/>
      <c r="D96" s="460"/>
      <c r="E96" s="460"/>
      <c r="F96" s="460"/>
      <c r="G96" s="460"/>
      <c r="H96" s="460"/>
      <c r="I96" s="460"/>
      <c r="J96" s="460"/>
      <c r="K96" s="233">
        <f>K88+K94</f>
        <v>496.43</v>
      </c>
      <c r="M96" s="479"/>
      <c r="N96" s="479"/>
      <c r="O96" s="479"/>
      <c r="P96" s="479"/>
      <c r="Q96" s="479"/>
      <c r="R96" s="479"/>
      <c r="S96" s="479"/>
      <c r="T96" s="479"/>
    </row>
    <row r="97" spans="1:20" ht="17.25" customHeight="1">
      <c r="A97" s="460" t="s">
        <v>736</v>
      </c>
      <c r="B97" s="460"/>
      <c r="C97" s="460"/>
      <c r="D97" s="460"/>
      <c r="E97" s="460"/>
      <c r="F97" s="460"/>
      <c r="G97" s="460"/>
      <c r="H97" s="460"/>
      <c r="I97" s="460"/>
      <c r="J97" s="460"/>
      <c r="K97" s="233">
        <f>K96/10</f>
        <v>49.643</v>
      </c>
      <c r="M97" s="479"/>
      <c r="N97" s="479"/>
      <c r="O97" s="479"/>
      <c r="P97" s="479"/>
      <c r="Q97" s="479"/>
      <c r="R97" s="479"/>
      <c r="S97" s="479"/>
      <c r="T97" s="479"/>
    </row>
    <row r="98" spans="1:20" ht="32.25" customHeight="1">
      <c r="A98" s="451" t="s">
        <v>708</v>
      </c>
      <c r="B98" s="451"/>
      <c r="C98" s="451"/>
      <c r="D98" s="451"/>
      <c r="E98" s="451"/>
      <c r="F98" s="451"/>
      <c r="G98" s="451"/>
      <c r="H98" s="461" t="s">
        <v>709</v>
      </c>
      <c r="I98" s="461"/>
      <c r="J98" s="461"/>
      <c r="K98" s="234" t="s">
        <v>255</v>
      </c>
      <c r="M98" s="479"/>
      <c r="N98" s="479"/>
      <c r="O98" s="479"/>
      <c r="P98" s="479"/>
      <c r="Q98" s="479"/>
      <c r="R98" s="479"/>
      <c r="S98" s="479"/>
      <c r="T98" s="479"/>
    </row>
    <row r="99" spans="1:20" ht="17.25" customHeight="1">
      <c r="A99" s="451"/>
      <c r="B99" s="451"/>
      <c r="C99" s="451"/>
      <c r="D99" s="451"/>
      <c r="E99" s="451"/>
      <c r="F99" s="451"/>
      <c r="G99" s="451"/>
      <c r="H99" s="462">
        <v>0</v>
      </c>
      <c r="I99" s="462"/>
      <c r="J99" s="462"/>
      <c r="K99" s="405">
        <f>ROUND(3*K97*H99,2)</f>
        <v>0</v>
      </c>
      <c r="M99" s="479"/>
      <c r="N99" s="479"/>
      <c r="O99" s="479"/>
      <c r="P99" s="479"/>
      <c r="Q99" s="479"/>
      <c r="R99" s="479"/>
      <c r="S99" s="479"/>
      <c r="T99" s="479"/>
    </row>
    <row r="100" spans="1:20" ht="17.25" customHeight="1">
      <c r="A100" s="455" t="s">
        <v>710</v>
      </c>
      <c r="B100" s="455"/>
      <c r="C100" s="455"/>
      <c r="D100" s="455"/>
      <c r="E100" s="455"/>
      <c r="F100" s="455"/>
      <c r="G100" s="455"/>
      <c r="H100" s="455"/>
      <c r="I100" s="455"/>
      <c r="J100" s="455"/>
      <c r="K100" s="226">
        <f>K99</f>
        <v>0</v>
      </c>
      <c r="M100" s="479"/>
      <c r="N100" s="479"/>
      <c r="O100" s="479"/>
      <c r="P100" s="479"/>
      <c r="Q100" s="479"/>
      <c r="R100" s="479"/>
      <c r="S100" s="479"/>
      <c r="T100" s="479"/>
    </row>
    <row r="101" spans="1:20" ht="17.25" customHeight="1">
      <c r="A101" s="456" t="s">
        <v>43</v>
      </c>
      <c r="B101" s="456"/>
      <c r="C101" s="456"/>
      <c r="D101" s="456"/>
      <c r="E101" s="456"/>
      <c r="F101" s="456"/>
      <c r="G101" s="456"/>
      <c r="H101" s="456"/>
      <c r="I101" s="456"/>
      <c r="J101" s="456"/>
      <c r="K101" s="235">
        <f>K88+K94+K100</f>
        <v>496.43</v>
      </c>
      <c r="M101" s="479"/>
      <c r="N101" s="479"/>
      <c r="O101" s="479"/>
      <c r="P101" s="479"/>
      <c r="Q101" s="479"/>
      <c r="R101" s="479"/>
      <c r="S101" s="479"/>
      <c r="T101" s="479"/>
    </row>
    <row r="102" spans="1:20" ht="11.25" customHeight="1">
      <c r="A102" s="457"/>
      <c r="B102" s="457"/>
      <c r="C102" s="457"/>
      <c r="D102" s="457"/>
      <c r="E102" s="457"/>
      <c r="F102" s="457"/>
      <c r="G102" s="457"/>
      <c r="H102" s="457"/>
      <c r="I102" s="457"/>
      <c r="J102" s="457"/>
      <c r="K102" s="457"/>
      <c r="M102" s="479"/>
      <c r="N102" s="479"/>
      <c r="O102" s="479"/>
      <c r="P102" s="479"/>
      <c r="Q102" s="479"/>
      <c r="R102" s="479"/>
      <c r="S102" s="479"/>
      <c r="T102" s="479"/>
    </row>
    <row r="103" spans="1:20" ht="17.25" customHeight="1">
      <c r="A103" s="458" t="s">
        <v>44</v>
      </c>
      <c r="B103" s="458"/>
      <c r="C103" s="458"/>
      <c r="D103" s="458"/>
      <c r="E103" s="458"/>
      <c r="F103" s="458"/>
      <c r="G103" s="458"/>
      <c r="H103" s="458"/>
      <c r="I103" s="458"/>
      <c r="J103" s="458"/>
      <c r="K103" s="458"/>
      <c r="M103" s="479"/>
      <c r="N103" s="479"/>
      <c r="O103" s="479"/>
      <c r="P103" s="479"/>
      <c r="Q103" s="479"/>
      <c r="R103" s="479"/>
      <c r="S103" s="479"/>
      <c r="T103" s="479"/>
    </row>
    <row r="104" spans="1:20" ht="17.25" customHeight="1">
      <c r="A104" s="455" t="s">
        <v>85</v>
      </c>
      <c r="B104" s="455"/>
      <c r="C104" s="455"/>
      <c r="D104" s="455"/>
      <c r="E104" s="455"/>
      <c r="F104" s="455"/>
      <c r="G104" s="455"/>
      <c r="H104" s="455"/>
      <c r="I104" s="455"/>
      <c r="J104" s="455"/>
      <c r="K104" s="455"/>
      <c r="M104" s="479"/>
      <c r="N104" s="479"/>
      <c r="O104" s="479"/>
      <c r="P104" s="479"/>
      <c r="Q104" s="479"/>
      <c r="R104" s="479"/>
      <c r="S104" s="479"/>
      <c r="T104" s="479"/>
    </row>
    <row r="105" spans="1:20" ht="17.25" customHeight="1">
      <c r="A105" s="455" t="s">
        <v>711</v>
      </c>
      <c r="B105" s="455"/>
      <c r="C105" s="455"/>
      <c r="D105" s="455"/>
      <c r="E105" s="455"/>
      <c r="F105" s="455"/>
      <c r="G105" s="455"/>
      <c r="H105" s="455"/>
      <c r="I105" s="455"/>
      <c r="J105" s="455"/>
      <c r="K105" s="455"/>
      <c r="M105" s="479"/>
      <c r="N105" s="479"/>
      <c r="O105" s="479"/>
      <c r="P105" s="479"/>
      <c r="Q105" s="479"/>
      <c r="R105" s="479"/>
      <c r="S105" s="479"/>
      <c r="T105" s="479"/>
    </row>
    <row r="106" spans="1:20" ht="42" customHeight="1">
      <c r="A106" s="455" t="s">
        <v>712</v>
      </c>
      <c r="B106" s="455"/>
      <c r="C106" s="455"/>
      <c r="D106" s="455"/>
      <c r="E106" s="455"/>
      <c r="F106" s="399" t="s">
        <v>713</v>
      </c>
      <c r="G106" s="236" t="s">
        <v>714</v>
      </c>
      <c r="H106" s="455" t="s">
        <v>715</v>
      </c>
      <c r="I106" s="455"/>
      <c r="J106" s="455"/>
      <c r="K106" s="399" t="s">
        <v>716</v>
      </c>
      <c r="M106" s="479"/>
      <c r="N106" s="479"/>
      <c r="O106" s="479"/>
      <c r="P106" s="479"/>
      <c r="Q106" s="479"/>
      <c r="R106" s="479"/>
      <c r="S106" s="479"/>
      <c r="T106" s="479"/>
    </row>
    <row r="107" spans="1:20" ht="17.25" customHeight="1">
      <c r="A107" s="451" t="s">
        <v>717</v>
      </c>
      <c r="B107" s="451"/>
      <c r="C107" s="451"/>
      <c r="D107" s="451"/>
      <c r="E107" s="451"/>
      <c r="F107" s="244">
        <v>1</v>
      </c>
      <c r="G107" s="401">
        <v>30</v>
      </c>
      <c r="H107" s="452">
        <f>255/365</f>
        <v>0.6986301369863014</v>
      </c>
      <c r="I107" s="452"/>
      <c r="J107" s="452"/>
      <c r="K107" s="237">
        <f>ROUND(F107*G107*H107,4)</f>
        <v>20.9589</v>
      </c>
      <c r="M107" s="479"/>
      <c r="N107" s="479"/>
      <c r="O107" s="479"/>
      <c r="P107" s="479"/>
      <c r="Q107" s="479"/>
      <c r="R107" s="479"/>
      <c r="S107" s="479"/>
      <c r="T107" s="479"/>
    </row>
    <row r="108" spans="1:20" ht="17.25" customHeight="1">
      <c r="A108" s="451" t="s">
        <v>718</v>
      </c>
      <c r="B108" s="451"/>
      <c r="C108" s="451"/>
      <c r="D108" s="451"/>
      <c r="E108" s="451"/>
      <c r="F108" s="244">
        <v>1</v>
      </c>
      <c r="G108" s="401">
        <v>1</v>
      </c>
      <c r="H108" s="452">
        <v>1</v>
      </c>
      <c r="I108" s="452"/>
      <c r="J108" s="452"/>
      <c r="K108" s="237">
        <f aca="true" t="shared" si="0" ref="K108:K118">ROUND(F108*G108*H108,4)</f>
        <v>1</v>
      </c>
      <c r="M108" s="479"/>
      <c r="N108" s="479"/>
      <c r="O108" s="479"/>
      <c r="P108" s="479"/>
      <c r="Q108" s="479"/>
      <c r="R108" s="479"/>
      <c r="S108" s="479"/>
      <c r="T108" s="479"/>
    </row>
    <row r="109" spans="1:20" ht="17.25" customHeight="1">
      <c r="A109" s="451" t="s">
        <v>719</v>
      </c>
      <c r="B109" s="451"/>
      <c r="C109" s="451"/>
      <c r="D109" s="451"/>
      <c r="E109" s="451"/>
      <c r="F109" s="244">
        <v>0.0922</v>
      </c>
      <c r="G109" s="401">
        <v>15</v>
      </c>
      <c r="H109" s="452">
        <f>255/365</f>
        <v>0.6986301369863014</v>
      </c>
      <c r="I109" s="452"/>
      <c r="J109" s="452"/>
      <c r="K109" s="237">
        <f t="shared" si="0"/>
        <v>0.9662</v>
      </c>
      <c r="M109" s="479"/>
      <c r="N109" s="479"/>
      <c r="O109" s="479"/>
      <c r="P109" s="479"/>
      <c r="Q109" s="479"/>
      <c r="R109" s="479"/>
      <c r="S109" s="479"/>
      <c r="T109" s="479"/>
    </row>
    <row r="110" spans="1:20" ht="17.25" customHeight="1">
      <c r="A110" s="451" t="s">
        <v>720</v>
      </c>
      <c r="B110" s="451"/>
      <c r="C110" s="451"/>
      <c r="D110" s="451"/>
      <c r="E110" s="451"/>
      <c r="F110" s="244">
        <v>1</v>
      </c>
      <c r="G110" s="401">
        <v>5</v>
      </c>
      <c r="H110" s="452">
        <f>255/365</f>
        <v>0.6986301369863014</v>
      </c>
      <c r="I110" s="452"/>
      <c r="J110" s="452"/>
      <c r="K110" s="237">
        <f t="shared" si="0"/>
        <v>3.4932</v>
      </c>
      <c r="M110" s="479"/>
      <c r="N110" s="479"/>
      <c r="O110" s="479"/>
      <c r="P110" s="479"/>
      <c r="Q110" s="479"/>
      <c r="R110" s="479"/>
      <c r="S110" s="479"/>
      <c r="T110" s="479"/>
    </row>
    <row r="111" spans="1:20" ht="17.25" customHeight="1">
      <c r="A111" s="451" t="s">
        <v>721</v>
      </c>
      <c r="B111" s="451"/>
      <c r="C111" s="451"/>
      <c r="D111" s="451"/>
      <c r="E111" s="451"/>
      <c r="F111" s="244">
        <v>0.1344</v>
      </c>
      <c r="G111" s="401">
        <v>2</v>
      </c>
      <c r="H111" s="452">
        <v>1</v>
      </c>
      <c r="I111" s="452"/>
      <c r="J111" s="452"/>
      <c r="K111" s="237">
        <f t="shared" si="0"/>
        <v>0.2688</v>
      </c>
      <c r="M111" s="479"/>
      <c r="N111" s="479"/>
      <c r="O111" s="479"/>
      <c r="P111" s="479"/>
      <c r="Q111" s="479"/>
      <c r="R111" s="479"/>
      <c r="S111" s="479"/>
      <c r="T111" s="479"/>
    </row>
    <row r="112" spans="1:20" ht="17.25" customHeight="1">
      <c r="A112" s="451" t="s">
        <v>722</v>
      </c>
      <c r="B112" s="451"/>
      <c r="C112" s="451"/>
      <c r="D112" s="451"/>
      <c r="E112" s="451"/>
      <c r="F112" s="244">
        <v>0.0305</v>
      </c>
      <c r="G112" s="401">
        <v>2</v>
      </c>
      <c r="H112" s="452">
        <f>255/365</f>
        <v>0.6986301369863014</v>
      </c>
      <c r="I112" s="452"/>
      <c r="J112" s="452"/>
      <c r="K112" s="237">
        <f t="shared" si="0"/>
        <v>0.0426</v>
      </c>
      <c r="M112" s="479"/>
      <c r="N112" s="479"/>
      <c r="O112" s="479"/>
      <c r="P112" s="479"/>
      <c r="Q112" s="479"/>
      <c r="R112" s="479"/>
      <c r="S112" s="479"/>
      <c r="T112" s="479"/>
    </row>
    <row r="113" spans="1:20" ht="17.25" customHeight="1">
      <c r="A113" s="451" t="s">
        <v>723</v>
      </c>
      <c r="B113" s="451"/>
      <c r="C113" s="451"/>
      <c r="D113" s="451"/>
      <c r="E113" s="451"/>
      <c r="F113" s="244">
        <v>0.0118</v>
      </c>
      <c r="G113" s="401">
        <v>3</v>
      </c>
      <c r="H113" s="452">
        <v>1</v>
      </c>
      <c r="I113" s="452"/>
      <c r="J113" s="452"/>
      <c r="K113" s="237">
        <f t="shared" si="0"/>
        <v>0.0354</v>
      </c>
      <c r="M113" s="479"/>
      <c r="N113" s="479"/>
      <c r="O113" s="479"/>
      <c r="P113" s="479"/>
      <c r="Q113" s="479"/>
      <c r="R113" s="479"/>
      <c r="S113" s="479"/>
      <c r="T113" s="479"/>
    </row>
    <row r="114" spans="1:20" ht="17.25" customHeight="1">
      <c r="A114" s="451" t="s">
        <v>724</v>
      </c>
      <c r="B114" s="451"/>
      <c r="C114" s="451"/>
      <c r="D114" s="451"/>
      <c r="E114" s="451"/>
      <c r="F114" s="244">
        <v>0.02</v>
      </c>
      <c r="G114" s="401">
        <v>1</v>
      </c>
      <c r="H114" s="452">
        <v>1</v>
      </c>
      <c r="I114" s="452"/>
      <c r="J114" s="452"/>
      <c r="K114" s="237">
        <f t="shared" si="0"/>
        <v>0.02</v>
      </c>
      <c r="M114" s="479"/>
      <c r="N114" s="479"/>
      <c r="O114" s="479"/>
      <c r="P114" s="479"/>
      <c r="Q114" s="479"/>
      <c r="R114" s="479"/>
      <c r="S114" s="479"/>
      <c r="T114" s="479"/>
    </row>
    <row r="115" spans="1:20" ht="17.25" customHeight="1">
      <c r="A115" s="451" t="s">
        <v>725</v>
      </c>
      <c r="B115" s="451"/>
      <c r="C115" s="451"/>
      <c r="D115" s="451"/>
      <c r="E115" s="451"/>
      <c r="F115" s="244">
        <v>0.004</v>
      </c>
      <c r="G115" s="401">
        <v>1</v>
      </c>
      <c r="H115" s="452">
        <v>1</v>
      </c>
      <c r="I115" s="452"/>
      <c r="J115" s="452"/>
      <c r="K115" s="237">
        <f t="shared" si="0"/>
        <v>0.004</v>
      </c>
      <c r="M115" s="479"/>
      <c r="N115" s="479"/>
      <c r="O115" s="479"/>
      <c r="P115" s="479"/>
      <c r="Q115" s="479"/>
      <c r="R115" s="479"/>
      <c r="S115" s="479"/>
      <c r="T115" s="479"/>
    </row>
    <row r="116" spans="1:20" ht="17.25" customHeight="1">
      <c r="A116" s="451" t="s">
        <v>726</v>
      </c>
      <c r="B116" s="451"/>
      <c r="C116" s="451"/>
      <c r="D116" s="451"/>
      <c r="E116" s="451"/>
      <c r="F116" s="244">
        <v>0.0143</v>
      </c>
      <c r="G116" s="401">
        <v>20</v>
      </c>
      <c r="H116" s="452">
        <f>255/365</f>
        <v>0.6986301369863014</v>
      </c>
      <c r="I116" s="452"/>
      <c r="J116" s="452"/>
      <c r="K116" s="237">
        <f t="shared" si="0"/>
        <v>0.1998</v>
      </c>
      <c r="M116" s="479"/>
      <c r="N116" s="479"/>
      <c r="O116" s="479"/>
      <c r="P116" s="479"/>
      <c r="Q116" s="479"/>
      <c r="R116" s="479"/>
      <c r="S116" s="479"/>
      <c r="T116" s="479"/>
    </row>
    <row r="117" spans="1:20" ht="17.25" customHeight="1">
      <c r="A117" s="451" t="s">
        <v>727</v>
      </c>
      <c r="B117" s="451"/>
      <c r="C117" s="451"/>
      <c r="D117" s="451"/>
      <c r="E117" s="451"/>
      <c r="F117" s="244">
        <v>0.0197</v>
      </c>
      <c r="G117" s="401">
        <v>180</v>
      </c>
      <c r="H117" s="452">
        <f>255/365</f>
        <v>0.6986301369863014</v>
      </c>
      <c r="I117" s="452"/>
      <c r="J117" s="452"/>
      <c r="K117" s="237">
        <f t="shared" si="0"/>
        <v>2.4773</v>
      </c>
      <c r="M117" s="479"/>
      <c r="N117" s="479"/>
      <c r="O117" s="479"/>
      <c r="P117" s="479"/>
      <c r="Q117" s="479"/>
      <c r="R117" s="479"/>
      <c r="S117" s="479"/>
      <c r="T117" s="479"/>
    </row>
    <row r="118" spans="1:20" ht="17.25" customHeight="1">
      <c r="A118" s="451" t="s">
        <v>728</v>
      </c>
      <c r="B118" s="451"/>
      <c r="C118" s="451"/>
      <c r="D118" s="451"/>
      <c r="E118" s="451"/>
      <c r="F118" s="244">
        <v>0.0016</v>
      </c>
      <c r="G118" s="401">
        <v>6</v>
      </c>
      <c r="H118" s="452">
        <v>1</v>
      </c>
      <c r="I118" s="452"/>
      <c r="J118" s="452"/>
      <c r="K118" s="237">
        <f t="shared" si="0"/>
        <v>0.0096</v>
      </c>
      <c r="M118" s="479"/>
      <c r="N118" s="479"/>
      <c r="O118" s="479"/>
      <c r="P118" s="479"/>
      <c r="Q118" s="479"/>
      <c r="R118" s="479"/>
      <c r="S118" s="479"/>
      <c r="T118" s="479"/>
    </row>
    <row r="119" spans="1:20" ht="17.25" customHeight="1">
      <c r="A119" s="454" t="s">
        <v>729</v>
      </c>
      <c r="B119" s="454"/>
      <c r="C119" s="454"/>
      <c r="D119" s="454"/>
      <c r="E119" s="454"/>
      <c r="F119" s="454"/>
      <c r="G119" s="454"/>
      <c r="H119" s="454"/>
      <c r="I119" s="454"/>
      <c r="J119" s="454"/>
      <c r="K119" s="238">
        <f>ROUND(SUM(K107:K118),0)</f>
        <v>29</v>
      </c>
      <c r="M119" s="479"/>
      <c r="N119" s="479"/>
      <c r="O119" s="479"/>
      <c r="P119" s="479"/>
      <c r="Q119" s="479"/>
      <c r="R119" s="479"/>
      <c r="S119" s="479"/>
      <c r="T119" s="479"/>
    </row>
    <row r="120" spans="1:20" ht="17.25" customHeight="1">
      <c r="A120" s="453" t="s">
        <v>68</v>
      </c>
      <c r="B120" s="453"/>
      <c r="C120" s="453"/>
      <c r="D120" s="453"/>
      <c r="E120" s="453"/>
      <c r="F120" s="453"/>
      <c r="G120" s="453"/>
      <c r="H120" s="453"/>
      <c r="I120" s="453"/>
      <c r="J120" s="453"/>
      <c r="K120" s="233">
        <f>K35</f>
        <v>5090.7</v>
      </c>
      <c r="M120" s="479"/>
      <c r="N120" s="479"/>
      <c r="O120" s="479"/>
      <c r="P120" s="479"/>
      <c r="Q120" s="479"/>
      <c r="R120" s="479"/>
      <c r="S120" s="479"/>
      <c r="T120" s="479"/>
    </row>
    <row r="121" spans="1:20" ht="17.25" customHeight="1">
      <c r="A121" s="453" t="s">
        <v>69</v>
      </c>
      <c r="B121" s="453"/>
      <c r="C121" s="453"/>
      <c r="D121" s="453"/>
      <c r="E121" s="453"/>
      <c r="F121" s="453"/>
      <c r="G121" s="453"/>
      <c r="H121" s="453"/>
      <c r="I121" s="453"/>
      <c r="J121" s="453"/>
      <c r="K121" s="233">
        <f>K74</f>
        <v>3904.85</v>
      </c>
      <c r="M121" s="479"/>
      <c r="N121" s="479"/>
      <c r="O121" s="479"/>
      <c r="P121" s="479"/>
      <c r="Q121" s="479"/>
      <c r="R121" s="479"/>
      <c r="S121" s="479"/>
      <c r="T121" s="479"/>
    </row>
    <row r="122" spans="1:20" ht="17.25" customHeight="1">
      <c r="A122" s="453" t="s">
        <v>70</v>
      </c>
      <c r="B122" s="453"/>
      <c r="C122" s="453"/>
      <c r="D122" s="453"/>
      <c r="E122" s="453"/>
      <c r="F122" s="453"/>
      <c r="G122" s="453"/>
      <c r="H122" s="453"/>
      <c r="I122" s="453"/>
      <c r="J122" s="453"/>
      <c r="K122" s="233">
        <f>K101</f>
        <v>496.43</v>
      </c>
      <c r="M122" s="479"/>
      <c r="N122" s="479"/>
      <c r="O122" s="479"/>
      <c r="P122" s="479"/>
      <c r="Q122" s="479"/>
      <c r="R122" s="479"/>
      <c r="S122" s="479"/>
      <c r="T122" s="479"/>
    </row>
    <row r="123" spans="1:20" ht="17.25" customHeight="1">
      <c r="A123" s="453" t="s">
        <v>261</v>
      </c>
      <c r="B123" s="453"/>
      <c r="C123" s="453"/>
      <c r="D123" s="453"/>
      <c r="E123" s="453"/>
      <c r="F123" s="453"/>
      <c r="G123" s="453"/>
      <c r="H123" s="453"/>
      <c r="I123" s="453"/>
      <c r="J123" s="453"/>
      <c r="K123" s="233">
        <f>K120+K121+K122</f>
        <v>9491.98</v>
      </c>
      <c r="M123" s="479"/>
      <c r="N123" s="479"/>
      <c r="O123" s="479"/>
      <c r="P123" s="479"/>
      <c r="Q123" s="479"/>
      <c r="R123" s="479"/>
      <c r="S123" s="479"/>
      <c r="T123" s="479"/>
    </row>
    <row r="124" spans="1:20" ht="17.25" customHeight="1">
      <c r="A124" s="453" t="s">
        <v>730</v>
      </c>
      <c r="B124" s="453"/>
      <c r="C124" s="453"/>
      <c r="D124" s="453"/>
      <c r="E124" s="453"/>
      <c r="F124" s="453"/>
      <c r="G124" s="453"/>
      <c r="H124" s="453"/>
      <c r="I124" s="453"/>
      <c r="J124" s="453"/>
      <c r="K124" s="239">
        <f>ROUND(K123/30,2)</f>
        <v>316.4</v>
      </c>
      <c r="M124" s="479"/>
      <c r="N124" s="479"/>
      <c r="O124" s="479"/>
      <c r="P124" s="479"/>
      <c r="Q124" s="479"/>
      <c r="R124" s="479"/>
      <c r="S124" s="479"/>
      <c r="T124" s="479"/>
    </row>
    <row r="125" spans="1:20" ht="17.25" customHeight="1">
      <c r="A125" s="453" t="s">
        <v>731</v>
      </c>
      <c r="B125" s="453"/>
      <c r="C125" s="453"/>
      <c r="D125" s="453"/>
      <c r="E125" s="453"/>
      <c r="F125" s="453"/>
      <c r="G125" s="453"/>
      <c r="H125" s="453"/>
      <c r="I125" s="453"/>
      <c r="J125" s="453"/>
      <c r="K125" s="239">
        <f>ROUND(K124*K119,2)</f>
        <v>9175.6</v>
      </c>
      <c r="M125" s="479"/>
      <c r="N125" s="479"/>
      <c r="O125" s="479"/>
      <c r="P125" s="479"/>
      <c r="Q125" s="479"/>
      <c r="R125" s="479"/>
      <c r="S125" s="479"/>
      <c r="T125" s="479"/>
    </row>
    <row r="126" spans="1:20" ht="17.25" customHeight="1">
      <c r="A126" s="453" t="s">
        <v>732</v>
      </c>
      <c r="B126" s="453"/>
      <c r="C126" s="453"/>
      <c r="D126" s="453"/>
      <c r="E126" s="453"/>
      <c r="F126" s="453"/>
      <c r="G126" s="453"/>
      <c r="H126" s="453"/>
      <c r="I126" s="453"/>
      <c r="J126" s="453"/>
      <c r="K126" s="239">
        <f>ROUND(K125/12,2)</f>
        <v>764.63</v>
      </c>
      <c r="M126" s="479"/>
      <c r="N126" s="479"/>
      <c r="O126" s="479"/>
      <c r="P126" s="479"/>
      <c r="Q126" s="479"/>
      <c r="R126" s="479"/>
      <c r="S126" s="479"/>
      <c r="T126" s="479"/>
    </row>
    <row r="127" spans="1:20" ht="17.25" customHeight="1">
      <c r="A127" s="455" t="s">
        <v>49</v>
      </c>
      <c r="B127" s="455"/>
      <c r="C127" s="455"/>
      <c r="D127" s="455"/>
      <c r="E127" s="455"/>
      <c r="F127" s="455"/>
      <c r="G127" s="455"/>
      <c r="H127" s="455"/>
      <c r="I127" s="455"/>
      <c r="J127" s="455"/>
      <c r="K127" s="226">
        <f>K126</f>
        <v>764.63</v>
      </c>
      <c r="M127" s="479"/>
      <c r="N127" s="479"/>
      <c r="O127" s="479"/>
      <c r="P127" s="479"/>
      <c r="Q127" s="479"/>
      <c r="R127" s="479"/>
      <c r="S127" s="479"/>
      <c r="T127" s="479"/>
    </row>
    <row r="128" spans="1:20" s="119" customFormat="1" ht="5.25" customHeight="1">
      <c r="A128" s="482"/>
      <c r="B128" s="482"/>
      <c r="C128" s="482"/>
      <c r="D128" s="482"/>
      <c r="E128" s="482"/>
      <c r="F128" s="482"/>
      <c r="G128" s="482"/>
      <c r="H128" s="482"/>
      <c r="I128" s="482"/>
      <c r="J128" s="482"/>
      <c r="K128" s="482"/>
      <c r="M128" s="116"/>
      <c r="N128" s="116"/>
      <c r="O128" s="116"/>
      <c r="P128" s="116"/>
      <c r="Q128" s="116"/>
      <c r="R128" s="116"/>
      <c r="S128" s="116"/>
      <c r="T128" s="116"/>
    </row>
    <row r="129" spans="1:11" ht="17.25" customHeight="1">
      <c r="A129" s="463" t="s">
        <v>92</v>
      </c>
      <c r="B129" s="463"/>
      <c r="C129" s="463"/>
      <c r="D129" s="463"/>
      <c r="E129" s="463"/>
      <c r="F129" s="463"/>
      <c r="G129" s="463"/>
      <c r="H129" s="463"/>
      <c r="I129" s="463"/>
      <c r="J129" s="463"/>
      <c r="K129" s="463"/>
    </row>
    <row r="130" spans="1:11" ht="17.25" customHeight="1">
      <c r="A130" s="480"/>
      <c r="B130" s="480"/>
      <c r="C130" s="480"/>
      <c r="D130" s="480"/>
      <c r="E130" s="480"/>
      <c r="F130" s="480"/>
      <c r="G130" s="480"/>
      <c r="H130" s="480"/>
      <c r="I130" s="480"/>
      <c r="J130" s="480"/>
      <c r="K130" s="398" t="s">
        <v>20</v>
      </c>
    </row>
    <row r="131" spans="1:11" ht="17.25" customHeight="1">
      <c r="A131" s="401" t="s">
        <v>1</v>
      </c>
      <c r="B131" s="465" t="s">
        <v>93</v>
      </c>
      <c r="C131" s="465"/>
      <c r="D131" s="465"/>
      <c r="E131" s="465"/>
      <c r="F131" s="465"/>
      <c r="G131" s="465"/>
      <c r="H131" s="465"/>
      <c r="I131" s="465"/>
      <c r="J131" s="465"/>
      <c r="K131" s="405">
        <v>0</v>
      </c>
    </row>
    <row r="132" spans="1:11" ht="17.25" customHeight="1">
      <c r="A132" s="455" t="s">
        <v>50</v>
      </c>
      <c r="B132" s="455"/>
      <c r="C132" s="455"/>
      <c r="D132" s="455"/>
      <c r="E132" s="455"/>
      <c r="F132" s="455"/>
      <c r="G132" s="455"/>
      <c r="H132" s="455"/>
      <c r="I132" s="455"/>
      <c r="J132" s="455"/>
      <c r="K132" s="226">
        <f>K131</f>
        <v>0</v>
      </c>
    </row>
    <row r="133" spans="1:11" ht="5.25" customHeight="1">
      <c r="A133" s="476"/>
      <c r="B133" s="476"/>
      <c r="C133" s="476"/>
      <c r="D133" s="476"/>
      <c r="E133" s="476"/>
      <c r="F133" s="476"/>
      <c r="G133" s="476"/>
      <c r="H133" s="476"/>
      <c r="I133" s="476"/>
      <c r="J133" s="476"/>
      <c r="K133" s="476"/>
    </row>
    <row r="134" spans="1:11" ht="17.25" customHeight="1">
      <c r="A134" s="458" t="s">
        <v>51</v>
      </c>
      <c r="B134" s="458"/>
      <c r="C134" s="458"/>
      <c r="D134" s="458"/>
      <c r="E134" s="458"/>
      <c r="F134" s="458"/>
      <c r="G134" s="458"/>
      <c r="H134" s="458"/>
      <c r="I134" s="458"/>
      <c r="J134" s="458"/>
      <c r="K134" s="224">
        <f>SUM(K127,K132)</f>
        <v>764.63</v>
      </c>
    </row>
    <row r="135" spans="1:11" ht="6.75" customHeight="1">
      <c r="A135" s="457"/>
      <c r="B135" s="457"/>
      <c r="C135" s="457"/>
      <c r="D135" s="457"/>
      <c r="E135" s="457"/>
      <c r="F135" s="457"/>
      <c r="G135" s="457"/>
      <c r="H135" s="457"/>
      <c r="I135" s="457"/>
      <c r="J135" s="457"/>
      <c r="K135" s="457"/>
    </row>
    <row r="136" spans="1:11" ht="17.25" customHeight="1">
      <c r="A136" s="458" t="s">
        <v>52</v>
      </c>
      <c r="B136" s="458"/>
      <c r="C136" s="458"/>
      <c r="D136" s="458"/>
      <c r="E136" s="458"/>
      <c r="F136" s="458"/>
      <c r="G136" s="458"/>
      <c r="H136" s="458"/>
      <c r="I136" s="458"/>
      <c r="J136" s="458"/>
      <c r="K136" s="458"/>
    </row>
    <row r="137" spans="1:11" ht="17.25" customHeight="1">
      <c r="A137" s="401" t="s">
        <v>1</v>
      </c>
      <c r="B137" s="465" t="s">
        <v>188</v>
      </c>
      <c r="C137" s="465"/>
      <c r="D137" s="465"/>
      <c r="E137" s="465"/>
      <c r="F137" s="465"/>
      <c r="G137" s="465"/>
      <c r="H137" s="465"/>
      <c r="I137" s="465"/>
      <c r="J137" s="465"/>
      <c r="K137" s="402">
        <f>Uniformes!H12</f>
        <v>142.65166666666667</v>
      </c>
    </row>
    <row r="138" spans="1:11" ht="17.25" customHeight="1">
      <c r="A138" s="401" t="s">
        <v>3</v>
      </c>
      <c r="B138" s="465" t="s">
        <v>310</v>
      </c>
      <c r="C138" s="465"/>
      <c r="D138" s="465"/>
      <c r="E138" s="465"/>
      <c r="F138" s="465"/>
      <c r="G138" s="465"/>
      <c r="H138" s="465"/>
      <c r="I138" s="465"/>
      <c r="J138" s="465"/>
      <c r="K138" s="402">
        <f>'EPI''s'!I12+'EPI''s'!I18</f>
        <v>283.71166666666664</v>
      </c>
    </row>
    <row r="139" spans="1:11" ht="17.25" customHeight="1">
      <c r="A139" s="401" t="s">
        <v>5</v>
      </c>
      <c r="B139" s="465" t="s">
        <v>575</v>
      </c>
      <c r="C139" s="465"/>
      <c r="D139" s="465"/>
      <c r="E139" s="465"/>
      <c r="F139" s="465"/>
      <c r="G139" s="465"/>
      <c r="H139" s="465"/>
      <c r="I139" s="465"/>
      <c r="J139" s="465"/>
      <c r="K139" s="402">
        <v>0</v>
      </c>
    </row>
    <row r="140" spans="1:11" ht="17.25" customHeight="1">
      <c r="A140" s="401" t="s">
        <v>6</v>
      </c>
      <c r="B140" s="465" t="s">
        <v>576</v>
      </c>
      <c r="C140" s="465"/>
      <c r="D140" s="465"/>
      <c r="E140" s="465"/>
      <c r="F140" s="465"/>
      <c r="G140" s="465"/>
      <c r="H140" s="465"/>
      <c r="I140" s="465"/>
      <c r="J140" s="465"/>
      <c r="K140" s="402"/>
    </row>
    <row r="141" spans="1:11" ht="17.25" customHeight="1">
      <c r="A141" s="401" t="s">
        <v>8</v>
      </c>
      <c r="B141" s="465" t="s">
        <v>577</v>
      </c>
      <c r="C141" s="465"/>
      <c r="D141" s="465"/>
      <c r="E141" s="465"/>
      <c r="F141" s="465"/>
      <c r="G141" s="465"/>
      <c r="H141" s="465"/>
      <c r="I141" s="465"/>
      <c r="J141" s="465"/>
      <c r="K141" s="402"/>
    </row>
    <row r="142" spans="1:11" ht="17.25" customHeight="1">
      <c r="A142" s="401" t="s">
        <v>10</v>
      </c>
      <c r="B142" s="491"/>
      <c r="C142" s="491"/>
      <c r="D142" s="491"/>
      <c r="E142" s="491"/>
      <c r="F142" s="491"/>
      <c r="G142" s="491"/>
      <c r="H142" s="491"/>
      <c r="I142" s="491"/>
      <c r="J142" s="491"/>
      <c r="K142" s="402">
        <f>'Item 1.1'!K142</f>
        <v>0</v>
      </c>
    </row>
    <row r="143" spans="1:11" ht="17.25" customHeight="1">
      <c r="A143" s="458" t="s">
        <v>53</v>
      </c>
      <c r="B143" s="458"/>
      <c r="C143" s="458"/>
      <c r="D143" s="458"/>
      <c r="E143" s="458"/>
      <c r="F143" s="458"/>
      <c r="G143" s="458"/>
      <c r="H143" s="458"/>
      <c r="I143" s="458"/>
      <c r="J143" s="458"/>
      <c r="K143" s="228">
        <f>SUM(K137:K142)</f>
        <v>426.36333333333334</v>
      </c>
    </row>
    <row r="144" spans="1:20" s="121" customFormat="1" ht="17.25" customHeight="1">
      <c r="A144" s="490"/>
      <c r="B144" s="490"/>
      <c r="C144" s="490"/>
      <c r="D144" s="490"/>
      <c r="E144" s="490"/>
      <c r="F144" s="490"/>
      <c r="G144" s="490"/>
      <c r="H144" s="490"/>
      <c r="I144" s="490"/>
      <c r="J144" s="490"/>
      <c r="K144" s="490"/>
      <c r="M144" s="116"/>
      <c r="N144" s="116"/>
      <c r="O144" s="116"/>
      <c r="P144" s="116"/>
      <c r="Q144" s="116"/>
      <c r="R144" s="116"/>
      <c r="S144" s="116"/>
      <c r="T144" s="116"/>
    </row>
    <row r="145" spans="1:13" ht="17.25" customHeight="1">
      <c r="A145" s="458" t="s">
        <v>94</v>
      </c>
      <c r="B145" s="458"/>
      <c r="C145" s="458"/>
      <c r="D145" s="458"/>
      <c r="E145" s="458"/>
      <c r="F145" s="458"/>
      <c r="G145" s="458"/>
      <c r="H145" s="458"/>
      <c r="I145" s="458"/>
      <c r="J145" s="458"/>
      <c r="K145" s="224">
        <f>SUM(K35,K74,K101,K134,K143)</f>
        <v>10682.973333333332</v>
      </c>
      <c r="M145" s="122"/>
    </row>
    <row r="146" spans="1:20" s="121" customFormat="1" ht="17.25" customHeight="1">
      <c r="A146" s="490"/>
      <c r="B146" s="490"/>
      <c r="C146" s="490"/>
      <c r="D146" s="490"/>
      <c r="E146" s="490"/>
      <c r="F146" s="490"/>
      <c r="G146" s="490"/>
      <c r="H146" s="490"/>
      <c r="I146" s="490"/>
      <c r="J146" s="490"/>
      <c r="K146" s="490"/>
      <c r="M146" s="116"/>
      <c r="N146" s="116"/>
      <c r="O146" s="116"/>
      <c r="P146" s="116"/>
      <c r="Q146" s="116"/>
      <c r="R146" s="116"/>
      <c r="S146" s="116"/>
      <c r="T146" s="116"/>
    </row>
    <row r="147" spans="1:11" ht="6.75" customHeight="1">
      <c r="A147" s="457"/>
      <c r="B147" s="457"/>
      <c r="C147" s="457"/>
      <c r="D147" s="457"/>
      <c r="E147" s="457"/>
      <c r="F147" s="457"/>
      <c r="G147" s="457"/>
      <c r="H147" s="457"/>
      <c r="I147" s="457"/>
      <c r="J147" s="457"/>
      <c r="K147" s="457"/>
    </row>
    <row r="148" spans="1:11" ht="17.25" customHeight="1">
      <c r="A148" s="458" t="s">
        <v>54</v>
      </c>
      <c r="B148" s="458"/>
      <c r="C148" s="458"/>
      <c r="D148" s="458"/>
      <c r="E148" s="458"/>
      <c r="F148" s="458"/>
      <c r="G148" s="458"/>
      <c r="H148" s="458"/>
      <c r="I148" s="458"/>
      <c r="J148" s="458"/>
      <c r="K148" s="458"/>
    </row>
    <row r="149" spans="1:11" ht="17.25" customHeight="1">
      <c r="A149" s="480"/>
      <c r="B149" s="480"/>
      <c r="C149" s="480"/>
      <c r="D149" s="480"/>
      <c r="E149" s="480"/>
      <c r="F149" s="480"/>
      <c r="G149" s="458" t="s">
        <v>25</v>
      </c>
      <c r="H149" s="458"/>
      <c r="I149" s="481" t="s">
        <v>55</v>
      </c>
      <c r="J149" s="481"/>
      <c r="K149" s="398" t="s">
        <v>20</v>
      </c>
    </row>
    <row r="150" spans="1:20" ht="17.25" customHeight="1">
      <c r="A150" s="401" t="s">
        <v>1</v>
      </c>
      <c r="B150" s="465" t="s">
        <v>56</v>
      </c>
      <c r="C150" s="465"/>
      <c r="D150" s="465"/>
      <c r="E150" s="465"/>
      <c r="F150" s="465"/>
      <c r="G150" s="478">
        <f>'Item 1.1'!G150:H150</f>
        <v>0.06</v>
      </c>
      <c r="H150" s="478"/>
      <c r="I150" s="471">
        <f>K145</f>
        <v>10682.973333333332</v>
      </c>
      <c r="J150" s="471"/>
      <c r="K150" s="405">
        <f>ROUND(I150*G150,2)</f>
        <v>640.98</v>
      </c>
      <c r="M150" s="479"/>
      <c r="N150" s="479"/>
      <c r="O150" s="479"/>
      <c r="P150" s="479"/>
      <c r="Q150" s="479"/>
      <c r="R150" s="479"/>
      <c r="S150" s="479"/>
      <c r="T150" s="479"/>
    </row>
    <row r="151" spans="1:20" ht="17.25" customHeight="1">
      <c r="A151" s="401" t="s">
        <v>3</v>
      </c>
      <c r="B151" s="465" t="s">
        <v>57</v>
      </c>
      <c r="C151" s="465"/>
      <c r="D151" s="465"/>
      <c r="E151" s="465"/>
      <c r="F151" s="465"/>
      <c r="G151" s="478">
        <f>'Item 1.1'!G151:H151</f>
        <v>0.072</v>
      </c>
      <c r="H151" s="478"/>
      <c r="I151" s="471">
        <f>I150+K150</f>
        <v>11323.953333333331</v>
      </c>
      <c r="J151" s="471"/>
      <c r="K151" s="405">
        <f>ROUND(I151*G151,2)</f>
        <v>815.32</v>
      </c>
      <c r="M151" s="479"/>
      <c r="N151" s="479"/>
      <c r="O151" s="479"/>
      <c r="P151" s="479"/>
      <c r="Q151" s="479"/>
      <c r="R151" s="479"/>
      <c r="S151" s="479"/>
      <c r="T151" s="479"/>
    </row>
    <row r="152" spans="1:20" ht="17.25" customHeight="1">
      <c r="A152" s="451" t="s">
        <v>5</v>
      </c>
      <c r="B152" s="451" t="s">
        <v>58</v>
      </c>
      <c r="C152" s="451"/>
      <c r="D152" s="451" t="s">
        <v>59</v>
      </c>
      <c r="E152" s="451"/>
      <c r="F152" s="401" t="s">
        <v>60</v>
      </c>
      <c r="G152" s="478">
        <v>0.0065</v>
      </c>
      <c r="H152" s="478"/>
      <c r="I152" s="471">
        <f>I151+K151</f>
        <v>12139.27333333333</v>
      </c>
      <c r="J152" s="471"/>
      <c r="K152" s="405">
        <f>ROUND(($I$152/(1-$G$159)*G152),2)</f>
        <v>86.38</v>
      </c>
      <c r="M152" s="470" t="s">
        <v>116</v>
      </c>
      <c r="N152" s="470"/>
      <c r="O152" s="470"/>
      <c r="P152" s="470"/>
      <c r="Q152" s="470"/>
      <c r="R152" s="470"/>
      <c r="S152" s="470"/>
      <c r="T152" s="470"/>
    </row>
    <row r="153" spans="1:20" ht="17.25" customHeight="1">
      <c r="A153" s="451"/>
      <c r="B153" s="451"/>
      <c r="C153" s="451"/>
      <c r="D153" s="451"/>
      <c r="E153" s="451"/>
      <c r="F153" s="401" t="s">
        <v>61</v>
      </c>
      <c r="G153" s="478">
        <v>0.03</v>
      </c>
      <c r="H153" s="478"/>
      <c r="I153" s="471"/>
      <c r="J153" s="471"/>
      <c r="K153" s="405">
        <f>ROUND(($I$152/(1-$G$159)*G153),2)</f>
        <v>398.66</v>
      </c>
      <c r="M153" s="467" t="s">
        <v>117</v>
      </c>
      <c r="N153" s="468"/>
      <c r="O153" s="468"/>
      <c r="P153" s="468"/>
      <c r="Q153" s="468"/>
      <c r="R153" s="468"/>
      <c r="S153" s="468"/>
      <c r="T153" s="469"/>
    </row>
    <row r="154" spans="1:20" ht="17.25" customHeight="1">
      <c r="A154" s="451"/>
      <c r="B154" s="451"/>
      <c r="C154" s="451"/>
      <c r="D154" s="451"/>
      <c r="E154" s="451"/>
      <c r="F154" s="409" t="s">
        <v>62</v>
      </c>
      <c r="G154" s="478">
        <f>'Item 1.1'!G154:H154</f>
        <v>0</v>
      </c>
      <c r="H154" s="478"/>
      <c r="I154" s="471"/>
      <c r="J154" s="471"/>
      <c r="K154" s="405">
        <f>ROUND(($I$152/(1-$G$159)*G154),2)</f>
        <v>0</v>
      </c>
      <c r="M154" s="467" t="s">
        <v>184</v>
      </c>
      <c r="N154" s="468"/>
      <c r="O154" s="468"/>
      <c r="P154" s="468"/>
      <c r="Q154" s="468"/>
      <c r="R154" s="468"/>
      <c r="S154" s="468"/>
      <c r="T154" s="469"/>
    </row>
    <row r="155" spans="1:11" ht="17.25" customHeight="1">
      <c r="A155" s="451"/>
      <c r="B155" s="451"/>
      <c r="C155" s="451"/>
      <c r="D155" s="451" t="s">
        <v>63</v>
      </c>
      <c r="E155" s="451"/>
      <c r="F155" s="401" t="s">
        <v>64</v>
      </c>
      <c r="G155" s="464">
        <v>0.05</v>
      </c>
      <c r="H155" s="464"/>
      <c r="I155" s="471"/>
      <c r="J155" s="471"/>
      <c r="K155" s="471">
        <f>ROUND(($I$152/(1-$G$159)*G155),2)</f>
        <v>664.44</v>
      </c>
    </row>
    <row r="156" spans="1:11" ht="17.25" customHeight="1">
      <c r="A156" s="451"/>
      <c r="B156" s="451"/>
      <c r="C156" s="451"/>
      <c r="D156" s="451"/>
      <c r="E156" s="451"/>
      <c r="F156" s="229" t="str">
        <f>K11</f>
        <v>São Paulo / SP</v>
      </c>
      <c r="G156" s="464"/>
      <c r="H156" s="464"/>
      <c r="I156" s="471"/>
      <c r="J156" s="471"/>
      <c r="K156" s="471"/>
    </row>
    <row r="157" spans="1:11" ht="17.25" customHeight="1">
      <c r="A157" s="451"/>
      <c r="B157" s="451"/>
      <c r="C157" s="451"/>
      <c r="D157" s="451"/>
      <c r="E157" s="451"/>
      <c r="F157" s="409" t="s">
        <v>62</v>
      </c>
      <c r="G157" s="478"/>
      <c r="H157" s="478"/>
      <c r="I157" s="471"/>
      <c r="J157" s="471"/>
      <c r="K157" s="405">
        <f>ROUND(($I$152/(1-$G$159)*G157),2)</f>
        <v>0</v>
      </c>
    </row>
    <row r="158" spans="1:11" ht="17.25" customHeight="1">
      <c r="A158" s="451"/>
      <c r="B158" s="451"/>
      <c r="C158" s="451"/>
      <c r="D158" s="483" t="s">
        <v>65</v>
      </c>
      <c r="E158" s="483"/>
      <c r="F158" s="409"/>
      <c r="G158" s="478"/>
      <c r="H158" s="478"/>
      <c r="I158" s="471"/>
      <c r="J158" s="471"/>
      <c r="K158" s="405">
        <f>ROUND(($I$152/(1-$G$159)*G158),2)</f>
        <v>0</v>
      </c>
    </row>
    <row r="159" spans="1:13" ht="17.25" customHeight="1">
      <c r="A159" s="451"/>
      <c r="B159" s="463" t="s">
        <v>66</v>
      </c>
      <c r="C159" s="463"/>
      <c r="D159" s="463"/>
      <c r="E159" s="463"/>
      <c r="F159" s="463"/>
      <c r="G159" s="474">
        <f>SUM(G152:H158)</f>
        <v>0.0865</v>
      </c>
      <c r="H159" s="474"/>
      <c r="I159" s="475"/>
      <c r="J159" s="475"/>
      <c r="K159" s="230"/>
      <c r="M159" s="123"/>
    </row>
    <row r="160" spans="1:11" ht="17.25" customHeight="1">
      <c r="A160" s="458" t="s">
        <v>67</v>
      </c>
      <c r="B160" s="458"/>
      <c r="C160" s="458"/>
      <c r="D160" s="458"/>
      <c r="E160" s="458"/>
      <c r="F160" s="458"/>
      <c r="G160" s="458"/>
      <c r="H160" s="458"/>
      <c r="I160" s="466">
        <f>((1+G150)*(1+G151))/(1-G159)-1</f>
        <v>0.24391899288451047</v>
      </c>
      <c r="J160" s="466"/>
      <c r="K160" s="224">
        <f>ROUND(SUM(K150:K158),2)</f>
        <v>2605.78</v>
      </c>
    </row>
    <row r="161" spans="1:11" ht="6" customHeight="1">
      <c r="A161" s="476"/>
      <c r="B161" s="476"/>
      <c r="C161" s="476"/>
      <c r="D161" s="476"/>
      <c r="E161" s="476"/>
      <c r="F161" s="476"/>
      <c r="G161" s="476"/>
      <c r="H161" s="476"/>
      <c r="I161" s="476"/>
      <c r="J161" s="476"/>
      <c r="K161" s="476"/>
    </row>
    <row r="162" spans="1:11" ht="19.5" customHeight="1">
      <c r="A162" s="472" t="s">
        <v>105</v>
      </c>
      <c r="B162" s="472"/>
      <c r="C162" s="472"/>
      <c r="D162" s="472"/>
      <c r="E162" s="472"/>
      <c r="F162" s="472"/>
      <c r="G162" s="472"/>
      <c r="H162" s="472"/>
      <c r="I162" s="472"/>
      <c r="J162" s="472"/>
      <c r="K162" s="412" t="s">
        <v>20</v>
      </c>
    </row>
    <row r="163" spans="1:11" ht="17.25" customHeight="1">
      <c r="A163" s="401" t="s">
        <v>1</v>
      </c>
      <c r="B163" s="465" t="s">
        <v>68</v>
      </c>
      <c r="C163" s="465"/>
      <c r="D163" s="465"/>
      <c r="E163" s="465"/>
      <c r="F163" s="465"/>
      <c r="G163" s="465"/>
      <c r="H163" s="465"/>
      <c r="I163" s="465"/>
      <c r="J163" s="465"/>
      <c r="K163" s="405">
        <f>K35</f>
        <v>5090.7</v>
      </c>
    </row>
    <row r="164" spans="1:11" ht="17.25" customHeight="1">
      <c r="A164" s="401" t="s">
        <v>3</v>
      </c>
      <c r="B164" s="465" t="s">
        <v>69</v>
      </c>
      <c r="C164" s="465"/>
      <c r="D164" s="465"/>
      <c r="E164" s="465"/>
      <c r="F164" s="465"/>
      <c r="G164" s="465"/>
      <c r="H164" s="465"/>
      <c r="I164" s="465"/>
      <c r="J164" s="465"/>
      <c r="K164" s="405">
        <f>K74</f>
        <v>3904.85</v>
      </c>
    </row>
    <row r="165" spans="1:11" ht="17.25" customHeight="1">
      <c r="A165" s="401" t="s">
        <v>5</v>
      </c>
      <c r="B165" s="465" t="s">
        <v>70</v>
      </c>
      <c r="C165" s="465"/>
      <c r="D165" s="465"/>
      <c r="E165" s="465"/>
      <c r="F165" s="465"/>
      <c r="G165" s="465"/>
      <c r="H165" s="465"/>
      <c r="I165" s="465"/>
      <c r="J165" s="465"/>
      <c r="K165" s="405">
        <f>K101</f>
        <v>496.43</v>
      </c>
    </row>
    <row r="166" spans="1:11" ht="17.25" customHeight="1">
      <c r="A166" s="401" t="s">
        <v>6</v>
      </c>
      <c r="B166" s="465" t="s">
        <v>71</v>
      </c>
      <c r="C166" s="465"/>
      <c r="D166" s="465"/>
      <c r="E166" s="465"/>
      <c r="F166" s="465"/>
      <c r="G166" s="465"/>
      <c r="H166" s="465"/>
      <c r="I166" s="465"/>
      <c r="J166" s="465"/>
      <c r="K166" s="405">
        <f>K134</f>
        <v>764.63</v>
      </c>
    </row>
    <row r="167" spans="1:11" ht="17.25" customHeight="1">
      <c r="A167" s="401" t="s">
        <v>8</v>
      </c>
      <c r="B167" s="465" t="s">
        <v>72</v>
      </c>
      <c r="C167" s="465"/>
      <c r="D167" s="465"/>
      <c r="E167" s="465"/>
      <c r="F167" s="465"/>
      <c r="G167" s="465"/>
      <c r="H167" s="465"/>
      <c r="I167" s="465"/>
      <c r="J167" s="465"/>
      <c r="K167" s="405">
        <f>K143</f>
        <v>426.36333333333334</v>
      </c>
    </row>
    <row r="168" spans="1:11" ht="17.25" customHeight="1">
      <c r="A168" s="401" t="s">
        <v>10</v>
      </c>
      <c r="B168" s="465" t="s">
        <v>73</v>
      </c>
      <c r="C168" s="465"/>
      <c r="D168" s="465"/>
      <c r="E168" s="465"/>
      <c r="F168" s="465"/>
      <c r="G168" s="465"/>
      <c r="H168" s="465"/>
      <c r="I168" s="465"/>
      <c r="J168" s="465"/>
      <c r="K168" s="405">
        <f>K160</f>
        <v>2605.78</v>
      </c>
    </row>
    <row r="169" spans="1:13" ht="18" customHeight="1">
      <c r="A169" s="472" t="s">
        <v>74</v>
      </c>
      <c r="B169" s="472"/>
      <c r="C169" s="472"/>
      <c r="D169" s="472"/>
      <c r="E169" s="472"/>
      <c r="F169" s="472"/>
      <c r="G169" s="472"/>
      <c r="H169" s="472"/>
      <c r="I169" s="472"/>
      <c r="J169" s="472"/>
      <c r="K169" s="231">
        <f>ROUND(SUM(K163:K168),2)</f>
        <v>13288.75</v>
      </c>
      <c r="M169" s="116">
        <f>K139/K169</f>
        <v>0</v>
      </c>
    </row>
    <row r="170" spans="1:11" ht="18" customHeight="1">
      <c r="A170" s="679" t="s">
        <v>11</v>
      </c>
      <c r="B170" s="677" t="s">
        <v>1159</v>
      </c>
      <c r="C170" s="678"/>
      <c r="D170" s="678"/>
      <c r="E170" s="678"/>
      <c r="F170" s="678"/>
      <c r="G170" s="678"/>
      <c r="H170" s="678"/>
      <c r="I170" s="678"/>
      <c r="J170" s="364"/>
      <c r="K170" s="415">
        <v>307.4</v>
      </c>
    </row>
    <row r="171" spans="1:11" ht="18" customHeight="1">
      <c r="A171" s="680"/>
      <c r="B171" s="684" t="s">
        <v>1156</v>
      </c>
      <c r="C171" s="685"/>
      <c r="D171" s="685"/>
      <c r="E171" s="685"/>
      <c r="F171" s="685"/>
      <c r="G171" s="685"/>
      <c r="H171" s="685"/>
      <c r="I171" s="682">
        <v>223.79</v>
      </c>
      <c r="J171" s="683"/>
      <c r="K171" s="671">
        <f>ROUND((I171*J172)*H172,2)</f>
        <v>149.19</v>
      </c>
    </row>
    <row r="172" spans="1:11" ht="18" customHeight="1">
      <c r="A172" s="680"/>
      <c r="B172" s="677" t="s">
        <v>1157</v>
      </c>
      <c r="C172" s="678"/>
      <c r="D172" s="678"/>
      <c r="E172" s="678"/>
      <c r="F172" s="678"/>
      <c r="G172" s="414"/>
      <c r="H172" s="361">
        <v>4</v>
      </c>
      <c r="I172" s="362"/>
      <c r="J172" s="363">
        <f>1/6</f>
        <v>0.16666666666666666</v>
      </c>
      <c r="K172" s="672"/>
    </row>
    <row r="173" spans="1:11" ht="18" customHeight="1">
      <c r="A173" s="681"/>
      <c r="B173" s="674" t="s">
        <v>659</v>
      </c>
      <c r="C173" s="675"/>
      <c r="D173" s="675"/>
      <c r="E173" s="675"/>
      <c r="F173" s="675"/>
      <c r="G173" s="675"/>
      <c r="H173" s="675"/>
      <c r="I173" s="675"/>
      <c r="J173" s="676"/>
      <c r="K173" s="673"/>
    </row>
    <row r="174" spans="1:11" ht="18" customHeight="1">
      <c r="A174" s="472" t="s">
        <v>1158</v>
      </c>
      <c r="B174" s="472"/>
      <c r="C174" s="472"/>
      <c r="D174" s="472"/>
      <c r="E174" s="472"/>
      <c r="F174" s="472"/>
      <c r="G174" s="472"/>
      <c r="H174" s="472"/>
      <c r="I174" s="472"/>
      <c r="J174" s="472"/>
      <c r="K174" s="231">
        <f>K169+K170+K171</f>
        <v>13745.34</v>
      </c>
    </row>
    <row r="175" spans="1:11" ht="18" customHeight="1">
      <c r="A175" s="359"/>
      <c r="B175" s="359"/>
      <c r="C175" s="359"/>
      <c r="D175" s="359"/>
      <c r="E175" s="359"/>
      <c r="F175" s="359"/>
      <c r="G175" s="359"/>
      <c r="H175" s="359"/>
      <c r="I175" s="359"/>
      <c r="J175" s="359"/>
      <c r="K175" s="360"/>
    </row>
    <row r="176" spans="1:11" ht="6" customHeight="1">
      <c r="A176" s="473"/>
      <c r="B176" s="473"/>
      <c r="C176" s="473"/>
      <c r="D176" s="473"/>
      <c r="E176" s="473"/>
      <c r="F176" s="473"/>
      <c r="G176" s="473"/>
      <c r="H176" s="473"/>
      <c r="I176" s="473"/>
      <c r="J176" s="473"/>
      <c r="K176" s="473"/>
    </row>
    <row r="177" spans="1:11" ht="15">
      <c r="A177" s="477" t="s">
        <v>642</v>
      </c>
      <c r="B177" s="477"/>
      <c r="C177" s="477"/>
      <c r="D177" s="477"/>
      <c r="E177" s="477"/>
      <c r="F177" s="477"/>
      <c r="G177" s="477"/>
      <c r="H177" s="477"/>
      <c r="I177" s="477"/>
      <c r="J177" s="477"/>
      <c r="K177" s="477"/>
    </row>
  </sheetData>
  <sheetProtection password="CC3A" sheet="1" formatCells="0"/>
  <mergeCells count="265">
    <mergeCell ref="B168:J168"/>
    <mergeCell ref="A169:J169"/>
    <mergeCell ref="A176:K176"/>
    <mergeCell ref="A174:J174"/>
    <mergeCell ref="B170:I170"/>
    <mergeCell ref="A170:A173"/>
    <mergeCell ref="I171:J171"/>
    <mergeCell ref="B171:H171"/>
    <mergeCell ref="B172:F172"/>
    <mergeCell ref="A177:K177"/>
    <mergeCell ref="A161:K161"/>
    <mergeCell ref="A162:J162"/>
    <mergeCell ref="B163:J163"/>
    <mergeCell ref="B164:J164"/>
    <mergeCell ref="B165:J165"/>
    <mergeCell ref="B166:J166"/>
    <mergeCell ref="K171:K173"/>
    <mergeCell ref="B173:J173"/>
    <mergeCell ref="B167:J167"/>
    <mergeCell ref="D158:E158"/>
    <mergeCell ref="G158:H158"/>
    <mergeCell ref="B159:F159"/>
    <mergeCell ref="G159:H159"/>
    <mergeCell ref="I159:J159"/>
    <mergeCell ref="A160:H160"/>
    <mergeCell ref="I160:J160"/>
    <mergeCell ref="G153:H153"/>
    <mergeCell ref="M153:T153"/>
    <mergeCell ref="G154:H154"/>
    <mergeCell ref="M154:T154"/>
    <mergeCell ref="D155:E157"/>
    <mergeCell ref="G155:H156"/>
    <mergeCell ref="K155:K156"/>
    <mergeCell ref="G157:H157"/>
    <mergeCell ref="M150:T151"/>
    <mergeCell ref="B151:F151"/>
    <mergeCell ref="G151:H151"/>
    <mergeCell ref="I151:J151"/>
    <mergeCell ref="A152:A159"/>
    <mergeCell ref="B152:C158"/>
    <mergeCell ref="D152:E154"/>
    <mergeCell ref="G152:H152"/>
    <mergeCell ref="I152:J158"/>
    <mergeCell ref="M152:T152"/>
    <mergeCell ref="A147:K147"/>
    <mergeCell ref="A148:K148"/>
    <mergeCell ref="A149:F149"/>
    <mergeCell ref="G149:H149"/>
    <mergeCell ref="I149:J149"/>
    <mergeCell ref="B150:F150"/>
    <mergeCell ref="G150:H150"/>
    <mergeCell ref="I150:J150"/>
    <mergeCell ref="B141:J141"/>
    <mergeCell ref="B142:J142"/>
    <mergeCell ref="A143:J143"/>
    <mergeCell ref="A144:K144"/>
    <mergeCell ref="A145:J145"/>
    <mergeCell ref="A146:K146"/>
    <mergeCell ref="A135:K135"/>
    <mergeCell ref="A136:K136"/>
    <mergeCell ref="B137:J137"/>
    <mergeCell ref="B138:J138"/>
    <mergeCell ref="B139:J139"/>
    <mergeCell ref="B140:J140"/>
    <mergeCell ref="A129:K129"/>
    <mergeCell ref="A130:J130"/>
    <mergeCell ref="B131:J131"/>
    <mergeCell ref="A132:J132"/>
    <mergeCell ref="A133:K133"/>
    <mergeCell ref="A134:J134"/>
    <mergeCell ref="A123:J123"/>
    <mergeCell ref="A124:J124"/>
    <mergeCell ref="A125:J125"/>
    <mergeCell ref="A126:J126"/>
    <mergeCell ref="A127:J127"/>
    <mergeCell ref="A128:K128"/>
    <mergeCell ref="A118:E118"/>
    <mergeCell ref="H118:J118"/>
    <mergeCell ref="A119:J119"/>
    <mergeCell ref="A120:J120"/>
    <mergeCell ref="A121:J121"/>
    <mergeCell ref="A122:J122"/>
    <mergeCell ref="A115:E115"/>
    <mergeCell ref="H115:J115"/>
    <mergeCell ref="A116:E116"/>
    <mergeCell ref="H116:J116"/>
    <mergeCell ref="A117:E117"/>
    <mergeCell ref="H117:J117"/>
    <mergeCell ref="A112:E112"/>
    <mergeCell ref="H112:J112"/>
    <mergeCell ref="A113:E113"/>
    <mergeCell ref="H113:J113"/>
    <mergeCell ref="A114:E114"/>
    <mergeCell ref="H114:J114"/>
    <mergeCell ref="A109:E109"/>
    <mergeCell ref="H109:J109"/>
    <mergeCell ref="A110:E110"/>
    <mergeCell ref="H110:J110"/>
    <mergeCell ref="A111:E111"/>
    <mergeCell ref="H111:J111"/>
    <mergeCell ref="A106:E106"/>
    <mergeCell ref="H106:J106"/>
    <mergeCell ref="A107:E107"/>
    <mergeCell ref="H107:J107"/>
    <mergeCell ref="A108:E108"/>
    <mergeCell ref="H108:J108"/>
    <mergeCell ref="A100:J100"/>
    <mergeCell ref="A101:J101"/>
    <mergeCell ref="A102:K102"/>
    <mergeCell ref="A103:K103"/>
    <mergeCell ref="A104:K104"/>
    <mergeCell ref="A105:K105"/>
    <mergeCell ref="A94:J94"/>
    <mergeCell ref="A95:K95"/>
    <mergeCell ref="A96:J96"/>
    <mergeCell ref="A97:J97"/>
    <mergeCell ref="A98:G99"/>
    <mergeCell ref="H98:J98"/>
    <mergeCell ref="H99:J99"/>
    <mergeCell ref="A88:J88"/>
    <mergeCell ref="A89:K89"/>
    <mergeCell ref="A90:J90"/>
    <mergeCell ref="A91:J91"/>
    <mergeCell ref="A92:G93"/>
    <mergeCell ref="H92:J92"/>
    <mergeCell ref="H93:J93"/>
    <mergeCell ref="A81:J81"/>
    <mergeCell ref="A82:J82"/>
    <mergeCell ref="A83:J83"/>
    <mergeCell ref="A84:J84"/>
    <mergeCell ref="A85:J85"/>
    <mergeCell ref="A86:G87"/>
    <mergeCell ref="H86:J86"/>
    <mergeCell ref="H87:J87"/>
    <mergeCell ref="B72:J72"/>
    <mergeCell ref="A73:J73"/>
    <mergeCell ref="A74:J74"/>
    <mergeCell ref="A75:K75"/>
    <mergeCell ref="A76:K76"/>
    <mergeCell ref="M76:T127"/>
    <mergeCell ref="A77:K77"/>
    <mergeCell ref="A78:J78"/>
    <mergeCell ref="A79:J79"/>
    <mergeCell ref="A80:J80"/>
    <mergeCell ref="A69:A71"/>
    <mergeCell ref="B69:F69"/>
    <mergeCell ref="G69:J69"/>
    <mergeCell ref="B70:F70"/>
    <mergeCell ref="G70:J70"/>
    <mergeCell ref="K70:K71"/>
    <mergeCell ref="B71:F71"/>
    <mergeCell ref="G71:J71"/>
    <mergeCell ref="A66:A68"/>
    <mergeCell ref="B66:F66"/>
    <mergeCell ref="G66:J66"/>
    <mergeCell ref="K66:K68"/>
    <mergeCell ref="M66:T68"/>
    <mergeCell ref="B67:E67"/>
    <mergeCell ref="G67:J67"/>
    <mergeCell ref="B68:E68"/>
    <mergeCell ref="G68:J68"/>
    <mergeCell ref="A63:A65"/>
    <mergeCell ref="B63:F63"/>
    <mergeCell ref="G63:J63"/>
    <mergeCell ref="K63:K65"/>
    <mergeCell ref="B64:D64"/>
    <mergeCell ref="G64:J64"/>
    <mergeCell ref="B65:D65"/>
    <mergeCell ref="G65:J65"/>
    <mergeCell ref="A59:H59"/>
    <mergeCell ref="I59:J59"/>
    <mergeCell ref="A60:K60"/>
    <mergeCell ref="A61:K61"/>
    <mergeCell ref="M61:T62"/>
    <mergeCell ref="A62:J62"/>
    <mergeCell ref="B56:H56"/>
    <mergeCell ref="I56:J56"/>
    <mergeCell ref="B57:H57"/>
    <mergeCell ref="I57:J57"/>
    <mergeCell ref="B58:H58"/>
    <mergeCell ref="I58:J58"/>
    <mergeCell ref="K52:K53"/>
    <mergeCell ref="M52:T53"/>
    <mergeCell ref="B54:H54"/>
    <mergeCell ref="I54:J54"/>
    <mergeCell ref="B55:H55"/>
    <mergeCell ref="I55:J55"/>
    <mergeCell ref="B50:H50"/>
    <mergeCell ref="I50:J50"/>
    <mergeCell ref="B51:H51"/>
    <mergeCell ref="I51:J51"/>
    <mergeCell ref="A52:A53"/>
    <mergeCell ref="B52:F53"/>
    <mergeCell ref="I52:J53"/>
    <mergeCell ref="A44:K44"/>
    <mergeCell ref="A45:K45"/>
    <mergeCell ref="A46:J46"/>
    <mergeCell ref="A47:J47"/>
    <mergeCell ref="A48:J48"/>
    <mergeCell ref="A49:H49"/>
    <mergeCell ref="I49:J49"/>
    <mergeCell ref="M40:T42"/>
    <mergeCell ref="B41:H41"/>
    <mergeCell ref="I41:J41"/>
    <mergeCell ref="B42:H42"/>
    <mergeCell ref="I42:J42"/>
    <mergeCell ref="A43:H43"/>
    <mergeCell ref="I43:J43"/>
    <mergeCell ref="A37:K37"/>
    <mergeCell ref="A38:K38"/>
    <mergeCell ref="A39:H39"/>
    <mergeCell ref="I39:J39"/>
    <mergeCell ref="B40:H40"/>
    <mergeCell ref="I40:J40"/>
    <mergeCell ref="K31:K33"/>
    <mergeCell ref="M31:T33"/>
    <mergeCell ref="I33:J33"/>
    <mergeCell ref="B34:J34"/>
    <mergeCell ref="A35:J35"/>
    <mergeCell ref="A36:K36"/>
    <mergeCell ref="B30:G30"/>
    <mergeCell ref="I30:J30"/>
    <mergeCell ref="A31:A33"/>
    <mergeCell ref="B31:F33"/>
    <mergeCell ref="G31:G32"/>
    <mergeCell ref="H31:H32"/>
    <mergeCell ref="I31:J32"/>
    <mergeCell ref="M26:T26"/>
    <mergeCell ref="B27:G27"/>
    <mergeCell ref="I27:J27"/>
    <mergeCell ref="B28:G28"/>
    <mergeCell ref="I28:J28"/>
    <mergeCell ref="B29:G29"/>
    <mergeCell ref="I29:J29"/>
    <mergeCell ref="B21:J21"/>
    <mergeCell ref="B22:J22"/>
    <mergeCell ref="A23:K23"/>
    <mergeCell ref="A24:K24"/>
    <mergeCell ref="A25:J25"/>
    <mergeCell ref="B26:G26"/>
    <mergeCell ref="I26:J26"/>
    <mergeCell ref="B15:J15"/>
    <mergeCell ref="B16:J16"/>
    <mergeCell ref="B17:J17"/>
    <mergeCell ref="B18:J18"/>
    <mergeCell ref="B19:J19"/>
    <mergeCell ref="B20:J20"/>
    <mergeCell ref="A9:K9"/>
    <mergeCell ref="B10:J10"/>
    <mergeCell ref="B11:J11"/>
    <mergeCell ref="B12:J12"/>
    <mergeCell ref="B13:J13"/>
    <mergeCell ref="B14:J14"/>
    <mergeCell ref="A5:C5"/>
    <mergeCell ref="D5:K5"/>
    <mergeCell ref="A6:C6"/>
    <mergeCell ref="D6:K6"/>
    <mergeCell ref="A7:K7"/>
    <mergeCell ref="A8:K8"/>
    <mergeCell ref="A1:K1"/>
    <mergeCell ref="A2:K2"/>
    <mergeCell ref="A3:C3"/>
    <mergeCell ref="D3:K3"/>
    <mergeCell ref="A4:C4"/>
    <mergeCell ref="D4:K4"/>
  </mergeCells>
  <dataValidations count="1">
    <dataValidation type="custom" allowBlank="1" showInputMessage="1" showErrorMessage="1" sqref="O49">
      <formula1>"0,5 a 1"</formula1>
    </dataValidation>
  </dataValidations>
  <printOptions horizontalCentered="1" verticalCentered="1"/>
  <pageMargins left="0.7086614173228347" right="0.7086614173228347" top="0.7480314960629921" bottom="0.7480314960629921" header="0.31496062992125984" footer="0.31496062992125984"/>
  <pageSetup fitToHeight="2" fitToWidth="1" horizontalDpi="600" verticalDpi="600" orientation="portrait" paperSize="9" scale="50" r:id="rId1"/>
</worksheet>
</file>

<file path=xl/worksheets/sheet8.xml><?xml version="1.0" encoding="utf-8"?>
<worksheet xmlns="http://schemas.openxmlformats.org/spreadsheetml/2006/main" xmlns:r="http://schemas.openxmlformats.org/officeDocument/2006/relationships">
  <sheetPr>
    <pageSetUpPr fitToPage="1"/>
  </sheetPr>
  <dimension ref="A1:I16"/>
  <sheetViews>
    <sheetView showGridLines="0" view="pageBreakPreview" zoomScaleSheetLayoutView="100" zoomScalePageLayoutView="0" workbookViewId="0" topLeftCell="A1">
      <selection activeCell="F8" sqref="F8"/>
    </sheetView>
  </sheetViews>
  <sheetFormatPr defaultColWidth="8.7109375" defaultRowHeight="15"/>
  <cols>
    <col min="1" max="1" width="7.140625" style="110" customWidth="1"/>
    <col min="2" max="2" width="52.57421875" style="110" customWidth="1"/>
    <col min="3" max="4" width="8.7109375" style="110" customWidth="1"/>
    <col min="5" max="5" width="11.7109375" style="110" customWidth="1"/>
    <col min="6" max="7" width="13.00390625" style="110" customWidth="1"/>
    <col min="8" max="8" width="12.8515625" style="110" customWidth="1"/>
    <col min="9" max="9" width="9.140625" style="110" bestFit="1" customWidth="1"/>
    <col min="10" max="16384" width="8.7109375" style="110" customWidth="1"/>
  </cols>
  <sheetData>
    <row r="1" spans="1:8" ht="15.75">
      <c r="A1" s="688" t="s">
        <v>284</v>
      </c>
      <c r="B1" s="688"/>
      <c r="C1" s="688"/>
      <c r="D1" s="688"/>
      <c r="E1" s="688"/>
      <c r="F1" s="688"/>
      <c r="G1" s="688"/>
      <c r="H1" s="688"/>
    </row>
    <row r="2" spans="1:8" ht="15" customHeight="1">
      <c r="A2" s="689" t="s">
        <v>263</v>
      </c>
      <c r="B2" s="689" t="s">
        <v>274</v>
      </c>
      <c r="C2" s="689" t="s">
        <v>275</v>
      </c>
      <c r="D2" s="689" t="s">
        <v>262</v>
      </c>
      <c r="E2" s="692" t="s">
        <v>276</v>
      </c>
      <c r="F2" s="695" t="s">
        <v>134</v>
      </c>
      <c r="G2" s="695" t="s">
        <v>283</v>
      </c>
      <c r="H2" s="695" t="s">
        <v>1131</v>
      </c>
    </row>
    <row r="3" spans="1:8" ht="15">
      <c r="A3" s="690"/>
      <c r="B3" s="690"/>
      <c r="C3" s="690"/>
      <c r="D3" s="690"/>
      <c r="E3" s="693"/>
      <c r="F3" s="696"/>
      <c r="G3" s="696"/>
      <c r="H3" s="696"/>
    </row>
    <row r="4" spans="1:8" ht="15">
      <c r="A4" s="691"/>
      <c r="B4" s="691"/>
      <c r="C4" s="691"/>
      <c r="D4" s="691"/>
      <c r="E4" s="694"/>
      <c r="F4" s="697"/>
      <c r="G4" s="697"/>
      <c r="H4" s="697"/>
    </row>
    <row r="5" spans="1:9" ht="15">
      <c r="A5" s="179">
        <v>1</v>
      </c>
      <c r="B5" s="125" t="s">
        <v>277</v>
      </c>
      <c r="C5" s="126">
        <v>477098</v>
      </c>
      <c r="D5" s="126" t="s">
        <v>262</v>
      </c>
      <c r="E5" s="179">
        <v>1</v>
      </c>
      <c r="F5" s="348">
        <v>109.3</v>
      </c>
      <c r="G5" s="127">
        <v>6</v>
      </c>
      <c r="H5" s="128">
        <f aca="true" t="shared" si="0" ref="H5:H10">(E5*F5)/G5</f>
        <v>18.216666666666665</v>
      </c>
      <c r="I5" s="129"/>
    </row>
    <row r="6" spans="1:8" ht="15">
      <c r="A6" s="179">
        <v>2</v>
      </c>
      <c r="B6" s="125" t="s">
        <v>278</v>
      </c>
      <c r="C6" s="126">
        <v>462228</v>
      </c>
      <c r="D6" s="126" t="s">
        <v>262</v>
      </c>
      <c r="E6" s="179">
        <v>4</v>
      </c>
      <c r="F6" s="348">
        <v>39.47</v>
      </c>
      <c r="G6" s="127">
        <v>6</v>
      </c>
      <c r="H6" s="128">
        <f t="shared" si="0"/>
        <v>26.313333333333333</v>
      </c>
    </row>
    <row r="7" spans="1:8" ht="45">
      <c r="A7" s="179">
        <v>3</v>
      </c>
      <c r="B7" s="125" t="s">
        <v>279</v>
      </c>
      <c r="C7" s="261">
        <v>458140</v>
      </c>
      <c r="D7" s="126" t="s">
        <v>262</v>
      </c>
      <c r="E7" s="179">
        <v>4</v>
      </c>
      <c r="F7" s="348">
        <v>59.51</v>
      </c>
      <c r="G7" s="127">
        <v>6</v>
      </c>
      <c r="H7" s="128">
        <f t="shared" si="0"/>
        <v>39.67333333333333</v>
      </c>
    </row>
    <row r="8" spans="1:8" ht="30">
      <c r="A8" s="179">
        <v>4</v>
      </c>
      <c r="B8" s="125" t="s">
        <v>280</v>
      </c>
      <c r="C8" s="126">
        <v>461962</v>
      </c>
      <c r="D8" s="126" t="s">
        <v>262</v>
      </c>
      <c r="E8" s="179">
        <v>3</v>
      </c>
      <c r="F8" s="348">
        <v>53.02</v>
      </c>
      <c r="G8" s="130">
        <v>6</v>
      </c>
      <c r="H8" s="128">
        <f t="shared" si="0"/>
        <v>26.51</v>
      </c>
    </row>
    <row r="9" spans="1:8" ht="30">
      <c r="A9" s="179">
        <v>5</v>
      </c>
      <c r="B9" s="125" t="s">
        <v>281</v>
      </c>
      <c r="C9" s="126">
        <v>19798</v>
      </c>
      <c r="D9" s="126" t="s">
        <v>262</v>
      </c>
      <c r="E9" s="179">
        <v>1</v>
      </c>
      <c r="F9" s="348">
        <v>104.09</v>
      </c>
      <c r="G9" s="130">
        <v>6</v>
      </c>
      <c r="H9" s="128">
        <f t="shared" si="0"/>
        <v>17.348333333333333</v>
      </c>
    </row>
    <row r="10" spans="1:8" ht="15">
      <c r="A10" s="179">
        <v>6</v>
      </c>
      <c r="B10" s="125" t="s">
        <v>282</v>
      </c>
      <c r="C10" s="126">
        <v>3972</v>
      </c>
      <c r="D10" s="126" t="s">
        <v>265</v>
      </c>
      <c r="E10" s="179">
        <v>5</v>
      </c>
      <c r="F10" s="348">
        <v>16.54</v>
      </c>
      <c r="G10" s="130">
        <v>6</v>
      </c>
      <c r="H10" s="128">
        <f t="shared" si="0"/>
        <v>13.783333333333331</v>
      </c>
    </row>
    <row r="11" spans="1:8" ht="15">
      <c r="A11" s="179">
        <v>7</v>
      </c>
      <c r="B11" s="125" t="s">
        <v>169</v>
      </c>
      <c r="C11" s="126">
        <v>439776</v>
      </c>
      <c r="D11" s="126" t="s">
        <v>262</v>
      </c>
      <c r="E11" s="179">
        <v>1</v>
      </c>
      <c r="F11" s="348">
        <v>9.68</v>
      </c>
      <c r="G11" s="130" t="s">
        <v>170</v>
      </c>
      <c r="H11" s="128">
        <f>(F11/12)*E11</f>
        <v>0.8066666666666666</v>
      </c>
    </row>
    <row r="12" spans="1:8" ht="15">
      <c r="A12" s="686" t="s">
        <v>304</v>
      </c>
      <c r="B12" s="686"/>
      <c r="C12" s="686"/>
      <c r="D12" s="686"/>
      <c r="E12" s="686"/>
      <c r="F12" s="686"/>
      <c r="G12" s="686"/>
      <c r="H12" s="131">
        <f>SUM(H5:H11)</f>
        <v>142.65166666666667</v>
      </c>
    </row>
    <row r="13" spans="1:8" ht="15">
      <c r="A13" s="132"/>
      <c r="B13" s="133"/>
      <c r="C13" s="133"/>
      <c r="D13" s="132"/>
      <c r="E13" s="132"/>
      <c r="F13" s="134"/>
      <c r="G13" s="134"/>
      <c r="H13" s="134"/>
    </row>
    <row r="14" spans="1:8" ht="15">
      <c r="A14" s="135" t="s">
        <v>303</v>
      </c>
      <c r="B14" s="133"/>
      <c r="C14" s="133"/>
      <c r="D14" s="132"/>
      <c r="E14" s="132"/>
      <c r="F14" s="134"/>
      <c r="G14" s="134"/>
      <c r="H14" s="134"/>
    </row>
    <row r="15" spans="1:8" ht="15">
      <c r="A15" s="135"/>
      <c r="B15" s="133"/>
      <c r="C15" s="133"/>
      <c r="D15" s="132"/>
      <c r="E15" s="132"/>
      <c r="F15" s="134"/>
      <c r="G15" s="134"/>
      <c r="H15" s="134"/>
    </row>
    <row r="16" spans="1:8" ht="15">
      <c r="A16" s="687" t="s">
        <v>642</v>
      </c>
      <c r="B16" s="687"/>
      <c r="C16" s="687"/>
      <c r="D16" s="687"/>
      <c r="E16" s="687"/>
      <c r="F16" s="687"/>
      <c r="G16" s="687"/>
      <c r="H16" s="687"/>
    </row>
  </sheetData>
  <sheetProtection password="CC3A" sheet="1" formatCells="0" formatColumns="0"/>
  <mergeCells count="11">
    <mergeCell ref="H2:H4"/>
    <mergeCell ref="A12:G12"/>
    <mergeCell ref="A16:H16"/>
    <mergeCell ref="A1:H1"/>
    <mergeCell ref="A2:A4"/>
    <mergeCell ref="B2:B4"/>
    <mergeCell ref="C2:C4"/>
    <mergeCell ref="D2:D4"/>
    <mergeCell ref="E2:E4"/>
    <mergeCell ref="F2:F4"/>
    <mergeCell ref="G2:G4"/>
  </mergeCells>
  <printOptions/>
  <pageMargins left="0.511811024" right="0.511811024" top="0.787401575" bottom="0.787401575" header="0.31496062" footer="0.31496062"/>
  <pageSetup fitToHeight="1" fitToWidth="1" horizontalDpi="300" verticalDpi="300" orientation="portrait" paperSize="9" scale="73" r:id="rId1"/>
</worksheet>
</file>

<file path=xl/worksheets/sheet9.xml><?xml version="1.0" encoding="utf-8"?>
<worksheet xmlns="http://schemas.openxmlformats.org/spreadsheetml/2006/main" xmlns:r="http://schemas.openxmlformats.org/officeDocument/2006/relationships">
  <sheetPr>
    <pageSetUpPr fitToPage="1"/>
  </sheetPr>
  <dimension ref="A1:J29"/>
  <sheetViews>
    <sheetView showGridLines="0" view="pageBreakPreview" zoomScaleSheetLayoutView="100" zoomScalePageLayoutView="0" workbookViewId="0" topLeftCell="A16">
      <selection activeCell="H10" sqref="H10"/>
    </sheetView>
  </sheetViews>
  <sheetFormatPr defaultColWidth="8.7109375" defaultRowHeight="15"/>
  <cols>
    <col min="1" max="1" width="5.7109375" style="110" customWidth="1"/>
    <col min="2" max="2" width="35.8515625" style="110" customWidth="1"/>
    <col min="3" max="3" width="12.140625" style="110" customWidth="1"/>
    <col min="4" max="4" width="8.7109375" style="110" customWidth="1"/>
    <col min="5" max="5" width="12.140625" style="110" customWidth="1"/>
    <col min="6" max="6" width="9.421875" style="110" customWidth="1"/>
    <col min="7" max="7" width="10.421875" style="110" customWidth="1"/>
    <col min="8" max="8" width="10.28125" style="263" customWidth="1"/>
    <col min="9" max="9" width="10.7109375" style="110" customWidth="1"/>
    <col min="10" max="10" width="10.57421875" style="110" bestFit="1" customWidth="1"/>
    <col min="11" max="16384" width="8.7109375" style="110" customWidth="1"/>
  </cols>
  <sheetData>
    <row r="1" spans="1:9" ht="15.75">
      <c r="A1" s="688" t="s">
        <v>302</v>
      </c>
      <c r="B1" s="688"/>
      <c r="C1" s="688"/>
      <c r="D1" s="688"/>
      <c r="E1" s="688"/>
      <c r="F1" s="688"/>
      <c r="G1" s="688"/>
      <c r="H1" s="688"/>
      <c r="I1" s="688"/>
    </row>
    <row r="2" spans="1:9" ht="30" customHeight="1">
      <c r="A2" s="689" t="s">
        <v>263</v>
      </c>
      <c r="B2" s="689" t="s">
        <v>274</v>
      </c>
      <c r="C2" s="689" t="s">
        <v>738</v>
      </c>
      <c r="D2" s="689" t="s">
        <v>275</v>
      </c>
      <c r="E2" s="689" t="s">
        <v>262</v>
      </c>
      <c r="F2" s="692" t="s">
        <v>306</v>
      </c>
      <c r="G2" s="692" t="s">
        <v>573</v>
      </c>
      <c r="H2" s="695" t="s">
        <v>305</v>
      </c>
      <c r="I2" s="695" t="s">
        <v>138</v>
      </c>
    </row>
    <row r="3" spans="1:9" ht="15">
      <c r="A3" s="690"/>
      <c r="B3" s="690"/>
      <c r="C3" s="690"/>
      <c r="D3" s="690"/>
      <c r="E3" s="690"/>
      <c r="F3" s="693"/>
      <c r="G3" s="693"/>
      <c r="H3" s="696"/>
      <c r="I3" s="696"/>
    </row>
    <row r="4" spans="1:9" ht="15" customHeight="1">
      <c r="A4" s="691"/>
      <c r="B4" s="691"/>
      <c r="C4" s="691"/>
      <c r="D4" s="691"/>
      <c r="E4" s="691"/>
      <c r="F4" s="694"/>
      <c r="G4" s="694"/>
      <c r="H4" s="697"/>
      <c r="I4" s="697"/>
    </row>
    <row r="5" spans="1:9" ht="15" customHeight="1">
      <c r="A5" s="704" t="s">
        <v>285</v>
      </c>
      <c r="B5" s="705"/>
      <c r="C5" s="705"/>
      <c r="D5" s="705"/>
      <c r="E5" s="705"/>
      <c r="F5" s="705"/>
      <c r="G5" s="705"/>
      <c r="H5" s="705"/>
      <c r="I5" s="706"/>
    </row>
    <row r="6" spans="1:9" ht="15">
      <c r="A6" s="179">
        <v>1</v>
      </c>
      <c r="B6" s="125" t="s">
        <v>286</v>
      </c>
      <c r="C6" s="366" t="s">
        <v>739</v>
      </c>
      <c r="D6" s="126">
        <v>468649</v>
      </c>
      <c r="E6" s="126" t="s">
        <v>262</v>
      </c>
      <c r="F6" s="126">
        <v>12</v>
      </c>
      <c r="G6" s="179">
        <v>1</v>
      </c>
      <c r="H6" s="349">
        <v>18.54</v>
      </c>
      <c r="I6" s="367">
        <f aca="true" t="shared" si="0" ref="I6:I11">(G6*H6)/F6</f>
        <v>1.545</v>
      </c>
    </row>
    <row r="7" spans="1:9" ht="30">
      <c r="A7" s="179">
        <v>2</v>
      </c>
      <c r="B7" s="125" t="s">
        <v>287</v>
      </c>
      <c r="C7" s="366" t="s">
        <v>740</v>
      </c>
      <c r="D7" s="126">
        <v>121193</v>
      </c>
      <c r="E7" s="126" t="s">
        <v>262</v>
      </c>
      <c r="F7" s="126">
        <v>12</v>
      </c>
      <c r="G7" s="179">
        <v>1</v>
      </c>
      <c r="H7" s="349">
        <v>68.62</v>
      </c>
      <c r="I7" s="367">
        <f t="shared" si="0"/>
        <v>5.718333333333334</v>
      </c>
    </row>
    <row r="8" spans="1:10" ht="15">
      <c r="A8" s="179">
        <v>3</v>
      </c>
      <c r="B8" s="125" t="s">
        <v>288</v>
      </c>
      <c r="C8" s="366" t="s">
        <v>741</v>
      </c>
      <c r="D8" s="126">
        <v>417399</v>
      </c>
      <c r="E8" s="126" t="s">
        <v>262</v>
      </c>
      <c r="F8" s="126">
        <v>6</v>
      </c>
      <c r="G8" s="179">
        <v>2</v>
      </c>
      <c r="H8" s="349">
        <v>4.99</v>
      </c>
      <c r="I8" s="367">
        <f t="shared" si="0"/>
        <v>1.6633333333333333</v>
      </c>
      <c r="J8" s="129"/>
    </row>
    <row r="9" spans="1:9" ht="15">
      <c r="A9" s="179">
        <v>4</v>
      </c>
      <c r="B9" s="125" t="s">
        <v>289</v>
      </c>
      <c r="C9" s="366" t="s">
        <v>741</v>
      </c>
      <c r="D9" s="126">
        <v>399611</v>
      </c>
      <c r="E9" s="126" t="s">
        <v>262</v>
      </c>
      <c r="F9" s="126">
        <v>6</v>
      </c>
      <c r="G9" s="179">
        <v>2</v>
      </c>
      <c r="H9" s="349">
        <v>8.67</v>
      </c>
      <c r="I9" s="367">
        <f t="shared" si="0"/>
        <v>2.89</v>
      </c>
    </row>
    <row r="10" spans="1:9" ht="15">
      <c r="A10" s="179">
        <v>5</v>
      </c>
      <c r="B10" s="125" t="s">
        <v>290</v>
      </c>
      <c r="C10" s="366" t="s">
        <v>742</v>
      </c>
      <c r="D10" s="126">
        <v>337283</v>
      </c>
      <c r="E10" s="126" t="s">
        <v>743</v>
      </c>
      <c r="F10" s="126">
        <v>2</v>
      </c>
      <c r="G10" s="179">
        <v>6</v>
      </c>
      <c r="H10" s="349">
        <v>2.81</v>
      </c>
      <c r="I10" s="367">
        <f t="shared" si="0"/>
        <v>8.43</v>
      </c>
    </row>
    <row r="11" spans="1:9" ht="30">
      <c r="A11" s="179">
        <v>6</v>
      </c>
      <c r="B11" s="125" t="s">
        <v>291</v>
      </c>
      <c r="C11" s="366" t="s">
        <v>744</v>
      </c>
      <c r="D11" s="126">
        <v>405875</v>
      </c>
      <c r="E11" s="126" t="s">
        <v>292</v>
      </c>
      <c r="F11" s="126">
        <v>1</v>
      </c>
      <c r="G11" s="179">
        <v>1</v>
      </c>
      <c r="H11" s="349">
        <v>54.82</v>
      </c>
      <c r="I11" s="367">
        <f t="shared" si="0"/>
        <v>54.82</v>
      </c>
    </row>
    <row r="12" spans="1:9" ht="15">
      <c r="A12" s="707" t="s">
        <v>307</v>
      </c>
      <c r="B12" s="708"/>
      <c r="C12" s="708"/>
      <c r="D12" s="708"/>
      <c r="E12" s="708"/>
      <c r="F12" s="708"/>
      <c r="G12" s="708"/>
      <c r="H12" s="709"/>
      <c r="I12" s="137">
        <f>SUM(I6:I11)</f>
        <v>75.06666666666666</v>
      </c>
    </row>
    <row r="13" spans="1:9" ht="15">
      <c r="A13" s="710" t="s">
        <v>745</v>
      </c>
      <c r="B13" s="711"/>
      <c r="C13" s="711"/>
      <c r="D13" s="711"/>
      <c r="E13" s="711"/>
      <c r="F13" s="711"/>
      <c r="G13" s="711"/>
      <c r="H13" s="711"/>
      <c r="I13" s="712"/>
    </row>
    <row r="14" spans="1:10" ht="30">
      <c r="A14" s="179">
        <v>7</v>
      </c>
      <c r="B14" s="125" t="s">
        <v>293</v>
      </c>
      <c r="C14" s="366" t="s">
        <v>746</v>
      </c>
      <c r="D14" s="126">
        <v>431867</v>
      </c>
      <c r="E14" s="126" t="s">
        <v>265</v>
      </c>
      <c r="F14" s="126">
        <v>6</v>
      </c>
      <c r="G14" s="179">
        <v>1</v>
      </c>
      <c r="H14" s="349">
        <v>133.63</v>
      </c>
      <c r="I14" s="367">
        <f>(G14*H14)/F14</f>
        <v>22.271666666666665</v>
      </c>
      <c r="J14" s="129"/>
    </row>
    <row r="15" spans="1:9" ht="15">
      <c r="A15" s="179">
        <v>8</v>
      </c>
      <c r="B15" s="125" t="s">
        <v>294</v>
      </c>
      <c r="C15" s="366" t="s">
        <v>747</v>
      </c>
      <c r="D15" s="126">
        <v>286985</v>
      </c>
      <c r="E15" s="126" t="s">
        <v>262</v>
      </c>
      <c r="F15" s="126">
        <v>12</v>
      </c>
      <c r="G15" s="179">
        <v>1</v>
      </c>
      <c r="H15" s="349">
        <v>231.92</v>
      </c>
      <c r="I15" s="367">
        <f>(G15*H15)/F15</f>
        <v>19.326666666666664</v>
      </c>
    </row>
    <row r="16" spans="1:9" ht="15">
      <c r="A16" s="179">
        <v>9</v>
      </c>
      <c r="B16" s="125" t="s">
        <v>295</v>
      </c>
      <c r="C16" s="366" t="s">
        <v>748</v>
      </c>
      <c r="D16" s="126">
        <v>468662</v>
      </c>
      <c r="E16" s="126" t="s">
        <v>265</v>
      </c>
      <c r="F16" s="126">
        <v>6</v>
      </c>
      <c r="G16" s="179">
        <v>2</v>
      </c>
      <c r="H16" s="349">
        <v>30.74</v>
      </c>
      <c r="I16" s="367">
        <f>(G16*H16)/F16</f>
        <v>10.246666666666666</v>
      </c>
    </row>
    <row r="17" spans="1:9" ht="15">
      <c r="A17" s="179">
        <v>10</v>
      </c>
      <c r="B17" s="125" t="s">
        <v>296</v>
      </c>
      <c r="C17" s="366" t="s">
        <v>749</v>
      </c>
      <c r="D17" s="126">
        <v>338211</v>
      </c>
      <c r="E17" s="126" t="s">
        <v>265</v>
      </c>
      <c r="F17" s="126">
        <v>6</v>
      </c>
      <c r="G17" s="179">
        <v>2</v>
      </c>
      <c r="H17" s="349">
        <v>245.2</v>
      </c>
      <c r="I17" s="367">
        <f>(G17*H17)/F17</f>
        <v>81.73333333333333</v>
      </c>
    </row>
    <row r="18" spans="1:9" ht="15">
      <c r="A18" s="707" t="s">
        <v>309</v>
      </c>
      <c r="B18" s="708"/>
      <c r="C18" s="708"/>
      <c r="D18" s="708"/>
      <c r="E18" s="708"/>
      <c r="F18" s="708"/>
      <c r="G18" s="708"/>
      <c r="H18" s="709"/>
      <c r="I18" s="137">
        <f>SUM(I14:I17)+I12</f>
        <v>208.64499999999998</v>
      </c>
    </row>
    <row r="19" spans="1:9" ht="15">
      <c r="A19" s="710" t="s">
        <v>297</v>
      </c>
      <c r="B19" s="711"/>
      <c r="C19" s="711"/>
      <c r="D19" s="711"/>
      <c r="E19" s="711"/>
      <c r="F19" s="711"/>
      <c r="G19" s="711"/>
      <c r="H19" s="711"/>
      <c r="I19" s="712"/>
    </row>
    <row r="20" spans="1:9" ht="15">
      <c r="A20" s="179">
        <v>11</v>
      </c>
      <c r="B20" s="125" t="s">
        <v>298</v>
      </c>
      <c r="C20" s="368" t="s">
        <v>750</v>
      </c>
      <c r="D20" s="126">
        <v>468656</v>
      </c>
      <c r="E20" s="126" t="s">
        <v>265</v>
      </c>
      <c r="F20" s="126">
        <v>6</v>
      </c>
      <c r="G20" s="179">
        <v>1</v>
      </c>
      <c r="H20" s="349">
        <v>75.24</v>
      </c>
      <c r="I20" s="367">
        <f>(G20*H20)/F20</f>
        <v>12.54</v>
      </c>
    </row>
    <row r="21" spans="1:10" ht="15">
      <c r="A21" s="179">
        <v>12</v>
      </c>
      <c r="B21" s="125" t="s">
        <v>299</v>
      </c>
      <c r="C21" s="368" t="s">
        <v>751</v>
      </c>
      <c r="D21" s="126">
        <v>451548</v>
      </c>
      <c r="E21" s="126" t="s">
        <v>265</v>
      </c>
      <c r="F21" s="126">
        <v>2</v>
      </c>
      <c r="G21" s="179">
        <v>6</v>
      </c>
      <c r="H21" s="349">
        <v>11.4</v>
      </c>
      <c r="I21" s="367">
        <f>(G21*H21)/F21</f>
        <v>34.2</v>
      </c>
      <c r="J21" s="129"/>
    </row>
    <row r="22" spans="1:9" ht="15">
      <c r="A22" s="179">
        <v>13</v>
      </c>
      <c r="B22" s="125" t="s">
        <v>300</v>
      </c>
      <c r="C22" s="368" t="s">
        <v>752</v>
      </c>
      <c r="D22" s="126">
        <v>120936</v>
      </c>
      <c r="E22" s="126" t="s">
        <v>265</v>
      </c>
      <c r="F22" s="126">
        <v>4</v>
      </c>
      <c r="G22" s="179">
        <v>3</v>
      </c>
      <c r="H22" s="349">
        <v>16.14</v>
      </c>
      <c r="I22" s="367">
        <f>(G22*H22)/F22</f>
        <v>12.105</v>
      </c>
    </row>
    <row r="23" spans="1:10" ht="15">
      <c r="A23" s="179">
        <v>14</v>
      </c>
      <c r="B23" s="125" t="s">
        <v>301</v>
      </c>
      <c r="C23" s="368" t="s">
        <v>753</v>
      </c>
      <c r="D23" s="126">
        <v>346190</v>
      </c>
      <c r="E23" s="126" t="s">
        <v>262</v>
      </c>
      <c r="F23" s="126">
        <v>1</v>
      </c>
      <c r="G23" s="179">
        <v>12</v>
      </c>
      <c r="H23" s="349">
        <v>6.3</v>
      </c>
      <c r="I23" s="367">
        <f>(G23*H23)/F23</f>
        <v>75.6</v>
      </c>
      <c r="J23" s="129"/>
    </row>
    <row r="24" spans="1:9" ht="15">
      <c r="A24" s="698" t="s">
        <v>308</v>
      </c>
      <c r="B24" s="699"/>
      <c r="C24" s="699"/>
      <c r="D24" s="699"/>
      <c r="E24" s="699"/>
      <c r="F24" s="699"/>
      <c r="G24" s="699"/>
      <c r="H24" s="700"/>
      <c r="I24" s="185">
        <f>SUM(I20:I23)+I12</f>
        <v>209.51166666666666</v>
      </c>
    </row>
    <row r="25" spans="1:9" ht="15">
      <c r="A25" s="132"/>
      <c r="B25" s="133"/>
      <c r="C25" s="133"/>
      <c r="D25" s="133"/>
      <c r="E25" s="132"/>
      <c r="F25" s="132"/>
      <c r="G25" s="132"/>
      <c r="H25" s="262"/>
      <c r="I25" s="134"/>
    </row>
    <row r="26" spans="1:9" ht="15">
      <c r="A26" s="138" t="s">
        <v>643</v>
      </c>
      <c r="B26" s="133"/>
      <c r="C26" s="133"/>
      <c r="D26" s="133"/>
      <c r="E26" s="132"/>
      <c r="F26" s="132"/>
      <c r="G26" s="132"/>
      <c r="H26" s="262"/>
      <c r="I26" s="134"/>
    </row>
    <row r="27" ht="15">
      <c r="A27" s="110" t="s">
        <v>311</v>
      </c>
    </row>
    <row r="29" spans="1:9" ht="15">
      <c r="A29" s="701" t="s">
        <v>642</v>
      </c>
      <c r="B29" s="702"/>
      <c r="C29" s="702"/>
      <c r="D29" s="702"/>
      <c r="E29" s="702"/>
      <c r="F29" s="702"/>
      <c r="G29" s="702"/>
      <c r="H29" s="702"/>
      <c r="I29" s="703"/>
    </row>
  </sheetData>
  <sheetProtection password="CC3A" sheet="1" formatCells="0"/>
  <mergeCells count="17">
    <mergeCell ref="A24:H24"/>
    <mergeCell ref="A29:I29"/>
    <mergeCell ref="I2:I4"/>
    <mergeCell ref="A5:I5"/>
    <mergeCell ref="A12:H12"/>
    <mergeCell ref="A13:I13"/>
    <mergeCell ref="A18:H18"/>
    <mergeCell ref="A19:I19"/>
    <mergeCell ref="A1:I1"/>
    <mergeCell ref="A2:A4"/>
    <mergeCell ref="B2:B4"/>
    <mergeCell ref="C2:C4"/>
    <mergeCell ref="D2:D4"/>
    <mergeCell ref="E2:E4"/>
    <mergeCell ref="F2:F4"/>
    <mergeCell ref="G2:G4"/>
    <mergeCell ref="H2:H4"/>
  </mergeCells>
  <printOptions/>
  <pageMargins left="0.511811024" right="0.511811024" top="0.787401575" bottom="0.787401575" header="0.31496062" footer="0.31496062"/>
  <pageSetup fitToHeight="1"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LESLIE SOARES PEREIRA</dc:creator>
  <cp:keywords/>
  <dc:description/>
  <cp:lastModifiedBy>Andreia Alves de Lima</cp:lastModifiedBy>
  <cp:lastPrinted>2023-03-30T17:53:10Z</cp:lastPrinted>
  <dcterms:created xsi:type="dcterms:W3CDTF">2017-06-02T16:18:47Z</dcterms:created>
  <dcterms:modified xsi:type="dcterms:W3CDTF">2023-04-13T14:00:00Z</dcterms:modified>
  <cp:category/>
  <cp:version/>
  <cp:contentType/>
  <cp:contentStatus/>
  <cp:revision>14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