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S:\Licitacoes e Contratacoes\Pregao Eletronico\2022\12 - PA 2021-10665 - Manutenção ar condicionado - Sede e Educação\Edital e Anexos\"/>
    </mc:Choice>
  </mc:AlternateContent>
  <xr:revisionPtr revIDLastSave="0" documentId="13_ncr:1_{F7E0CD77-880A-4F92-A117-4D227B401EF4}" xr6:coauthVersionLast="47" xr6:coauthVersionMax="47" xr10:uidLastSave="{00000000-0000-0000-0000-000000000000}"/>
  <bookViews>
    <workbookView xWindow="-120" yWindow="-120" windowWidth="24240" windowHeight="13140" tabRatio="987" firstSheet="1" activeTab="15" xr2:uid="{00000000-000D-0000-FFFF-FFFF00000000}"/>
  </bookViews>
  <sheets>
    <sheet name="Geral" sheetId="40" r:id="rId1"/>
    <sheet name="Subitem 1.1" sheetId="3" r:id="rId2"/>
    <sheet name="Servente de Limpeza Líder" sheetId="13" state="hidden" r:id="rId3"/>
    <sheet name="Limpador de Vidros" sheetId="19" state="hidden" r:id="rId4"/>
    <sheet name="Uniformes" sheetId="22" r:id="rId5"/>
    <sheet name="EPI's" sheetId="23" r:id="rId6"/>
    <sheet name="Insumos" sheetId="25" r:id="rId7"/>
    <sheet name="Ferramentas" sheetId="41" r:id="rId8"/>
    <sheet name="Equipamentos" sheetId="38" r:id="rId9"/>
    <sheet name="Subitem 2.1" sheetId="42" r:id="rId10"/>
    <sheet name="Subitem 4.1" sheetId="47" r:id="rId11"/>
    <sheet name="Item 6" sheetId="45" r:id="rId12"/>
    <sheet name="Item 7" sheetId="46" r:id="rId13"/>
    <sheet name="BDI - Subitens Serviços" sheetId="43" r:id="rId14"/>
    <sheet name="BDI - Subitens Mat e Insumos" sheetId="44" r:id="rId15"/>
    <sheet name="Descontos 3.2 e 5.2" sheetId="48" r:id="rId16"/>
    <sheet name="Produtividade IN 05-2017" sheetId="16" state="hidden" r:id="rId17"/>
    <sheet name="Produtividade x M2" sheetId="18" state="hidden" r:id="rId18"/>
    <sheet name="Proposta Comercial" sheetId="17" state="hidden" r:id="rId19"/>
  </sheets>
  <externalReferences>
    <externalReference r:id="rId20"/>
    <externalReference r:id="rId21"/>
  </externalReferences>
  <definedNames>
    <definedName name="__shared_1_0_0">#N/A</definedName>
    <definedName name="__shared_1_0_1">#N/A</definedName>
    <definedName name="__shared_2_0_0">#N/A</definedName>
    <definedName name="__shared_2_0_1">#N/A</definedName>
    <definedName name="__shared_3_0_0">#N/A</definedName>
    <definedName name="__shared_3_0_1">#N/A</definedName>
    <definedName name="__shared_4_0_0">#N/A</definedName>
    <definedName name="__shared_4_0_1">#N/A</definedName>
    <definedName name="__shared_5_0_0">#N/A</definedName>
    <definedName name="__shared_5_0_1">#N/A</definedName>
    <definedName name="__shared_6_0_0">#N/A</definedName>
    <definedName name="__shared_6_0_1">#N/A</definedName>
    <definedName name="__shared_7_0_0">#N/A</definedName>
    <definedName name="__shared_7_0_1">#N/A</definedName>
    <definedName name="__shared_7_0_2">#N/A</definedName>
    <definedName name="__shared_7_0_3">#N/A</definedName>
    <definedName name="__shared_7_0_4">#N/A</definedName>
    <definedName name="__shared_7_0_5">#N/A</definedName>
    <definedName name="_xlnm.Print_Area" localSheetId="8">Equipamentos!$A$1:$I$33</definedName>
    <definedName name="_xlnm.Print_Area" localSheetId="11">'Item 6'!$A$1:$F$6</definedName>
    <definedName name="_xlnm.Print_Area" localSheetId="12">'Item 7'!$A$1:$G$4</definedName>
    <definedName name="_xlnm.Print_Area" localSheetId="3">#N/A</definedName>
    <definedName name="_xlnm.Print_Area" localSheetId="2">#N/A</definedName>
    <definedName name="_xlnm.Print_Area" localSheetId="1">'Subitem 1.1'!$A$1:$T$171</definedName>
    <definedName name="TabComposicao">[1]Composição!$A$2:$G$20</definedName>
    <definedName name="TabelaValores">#REF!</definedName>
    <definedName name="TabRef">'[2]Tabela de Referencia'!$A$11:$AT$83</definedName>
    <definedName name="_xlnm.Print_Titles" localSheetId="10">'Subitem 4.1'!$1:$2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46" l="1"/>
  <c r="H4" i="38" l="1"/>
  <c r="I4" i="38" s="1"/>
  <c r="H17" i="38"/>
  <c r="I17" i="38" s="1"/>
  <c r="G15" i="40"/>
  <c r="H33" i="40"/>
  <c r="G23" i="40"/>
  <c r="G16" i="23" l="1"/>
  <c r="G15" i="23"/>
  <c r="G14" i="23"/>
  <c r="G12" i="23"/>
  <c r="G11" i="23"/>
  <c r="G10" i="23"/>
  <c r="G9" i="23"/>
  <c r="G5" i="22"/>
  <c r="F27" i="40"/>
  <c r="G27" i="40" s="1"/>
  <c r="H30" i="40" l="1"/>
  <c r="F2" i="45"/>
  <c r="H27" i="40" s="1"/>
  <c r="G3" i="41" l="1"/>
  <c r="H5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" i="25"/>
  <c r="H3" i="25"/>
  <c r="G5" i="23"/>
  <c r="H49" i="25" l="1"/>
  <c r="H50" i="25" s="1"/>
  <c r="H52" i="25" s="1"/>
  <c r="E5" i="42"/>
  <c r="E4" i="42"/>
  <c r="E3" i="42"/>
  <c r="G3" i="42" s="1"/>
  <c r="K136" i="3" l="1"/>
  <c r="G4" i="47"/>
  <c r="G5" i="47"/>
  <c r="G6" i="47"/>
  <c r="G7" i="47"/>
  <c r="G8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G3" i="47"/>
  <c r="G34" i="47" l="1"/>
  <c r="H19" i="40" s="1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3" i="25"/>
  <c r="G32" i="41" l="1"/>
  <c r="G33" i="41" s="1"/>
  <c r="H26" i="38"/>
  <c r="I26" i="38" s="1"/>
  <c r="H25" i="38"/>
  <c r="I25" i="38" s="1"/>
  <c r="H24" i="38"/>
  <c r="I24" i="38" s="1"/>
  <c r="H23" i="38"/>
  <c r="I23" i="38" s="1"/>
  <c r="H22" i="38"/>
  <c r="I22" i="38" s="1"/>
  <c r="H21" i="38"/>
  <c r="I21" i="38" s="1"/>
  <c r="H20" i="38"/>
  <c r="I20" i="38" s="1"/>
  <c r="H19" i="38"/>
  <c r="I19" i="38" s="1"/>
  <c r="H16" i="38"/>
  <c r="I16" i="38" s="1"/>
  <c r="G35" i="41" l="1"/>
  <c r="C10" i="44"/>
  <c r="C10" i="43"/>
  <c r="G5" i="42"/>
  <c r="G4" i="42"/>
  <c r="G6" i="42" l="1"/>
  <c r="H9" i="40" s="1"/>
  <c r="G17" i="40"/>
  <c r="G34" i="40"/>
  <c r="H34" i="40" s="1"/>
  <c r="H35" i="40" s="1"/>
  <c r="F7" i="42"/>
  <c r="G7" i="42" s="1"/>
  <c r="G8" i="42" s="1"/>
  <c r="G31" i="40"/>
  <c r="H31" i="40" s="1"/>
  <c r="H32" i="40" s="1"/>
  <c r="G12" i="40"/>
  <c r="H12" i="40" s="1"/>
  <c r="H13" i="40" s="1"/>
  <c r="G28" i="40"/>
  <c r="H28" i="40" s="1"/>
  <c r="H29" i="40" s="1"/>
  <c r="F35" i="47"/>
  <c r="G35" i="47" s="1"/>
  <c r="G36" i="47" s="1"/>
  <c r="G20" i="40"/>
  <c r="H20" i="40" s="1"/>
  <c r="H21" i="40" s="1"/>
  <c r="H23" i="40" s="1"/>
  <c r="H24" i="40" s="1"/>
  <c r="G25" i="40"/>
  <c r="H25" i="40" l="1"/>
  <c r="H26" i="40" s="1"/>
  <c r="K137" i="3"/>
  <c r="G13" i="23" l="1"/>
  <c r="G8" i="23" l="1"/>
  <c r="G7" i="23" l="1"/>
  <c r="G6" i="23" l="1"/>
  <c r="G17" i="23" l="1"/>
  <c r="K135" i="3" s="1"/>
  <c r="K115" i="3" l="1"/>
  <c r="H114" i="3"/>
  <c r="K114" i="3" s="1"/>
  <c r="H113" i="3"/>
  <c r="K113" i="3" s="1"/>
  <c r="K112" i="3"/>
  <c r="K111" i="3"/>
  <c r="K110" i="3"/>
  <c r="H109" i="3"/>
  <c r="K109" i="3" s="1"/>
  <c r="K108" i="3"/>
  <c r="H107" i="3"/>
  <c r="K107" i="3" s="1"/>
  <c r="H106" i="3"/>
  <c r="K106" i="3" s="1"/>
  <c r="K105" i="3"/>
  <c r="H104" i="3"/>
  <c r="K104" i="3" s="1"/>
  <c r="K116" i="3" l="1"/>
  <c r="H3" i="38" l="1"/>
  <c r="I3" i="38" s="1"/>
  <c r="K27" i="3" l="1"/>
  <c r="H5" i="38" l="1"/>
  <c r="I5" i="38" s="1"/>
  <c r="H6" i="38"/>
  <c r="I6" i="38" s="1"/>
  <c r="H7" i="38"/>
  <c r="I7" i="38" s="1"/>
  <c r="H8" i="38"/>
  <c r="I8" i="38" s="1"/>
  <c r="H9" i="38"/>
  <c r="I9" i="38" s="1"/>
  <c r="H11" i="38"/>
  <c r="I11" i="38" s="1"/>
  <c r="H10" i="38"/>
  <c r="I10" i="38" s="1"/>
  <c r="H13" i="38"/>
  <c r="I13" i="38" s="1"/>
  <c r="H14" i="38"/>
  <c r="I14" i="38" s="1"/>
  <c r="H15" i="38"/>
  <c r="I15" i="38" s="1"/>
  <c r="H18" i="38"/>
  <c r="I18" i="38" s="1"/>
  <c r="H12" i="38"/>
  <c r="I12" i="38" s="1"/>
  <c r="I27" i="38" l="1"/>
  <c r="I29" i="38" s="1"/>
  <c r="K138" i="3" s="1"/>
  <c r="G49" i="25" l="1"/>
  <c r="G50" i="25" s="1"/>
  <c r="G52" i="25" s="1"/>
  <c r="G8" i="22"/>
  <c r="M139" i="3" l="1"/>
  <c r="G6" i="22"/>
  <c r="G7" i="22"/>
  <c r="G9" i="22"/>
  <c r="G10" i="22" l="1"/>
  <c r="K134" i="3" s="1"/>
  <c r="K140" i="3" s="1"/>
  <c r="K164" i="3" l="1"/>
  <c r="M140" i="3" l="1"/>
  <c r="K26" i="3"/>
  <c r="G65" i="3" l="1"/>
  <c r="K63" i="3" s="1"/>
  <c r="B68" i="3"/>
  <c r="G68" i="3" s="1"/>
  <c r="K67" i="3" s="1"/>
  <c r="I40" i="3"/>
  <c r="K70" i="3" l="1"/>
  <c r="A41" i="18"/>
  <c r="A33" i="18"/>
  <c r="A27" i="18"/>
  <c r="A21" i="18"/>
  <c r="A13" i="18"/>
  <c r="A7" i="18"/>
  <c r="E11" i="17"/>
  <c r="E9" i="17"/>
  <c r="E8" i="17"/>
  <c r="E7" i="17"/>
  <c r="E5" i="17"/>
  <c r="E4" i="17"/>
  <c r="C42" i="18" l="1"/>
  <c r="C28" i="18"/>
  <c r="C21" i="18"/>
  <c r="C8" i="18"/>
  <c r="E8" i="18" s="1"/>
  <c r="E5" i="16"/>
  <c r="E8" i="16"/>
  <c r="E9" i="16"/>
  <c r="E10" i="16"/>
  <c r="E13" i="16"/>
  <c r="E4" i="16"/>
  <c r="C52" i="18"/>
  <c r="C53" i="18" s="1"/>
  <c r="E41" i="18" s="1"/>
  <c r="C50" i="18"/>
  <c r="G151" i="19"/>
  <c r="I152" i="19" s="1"/>
  <c r="F80" i="19"/>
  <c r="G80" i="19" s="1"/>
  <c r="K81" i="19"/>
  <c r="K72" i="19"/>
  <c r="K70" i="19"/>
  <c r="F68" i="19"/>
  <c r="K66" i="19" s="1"/>
  <c r="I52" i="19"/>
  <c r="I59" i="19" s="1"/>
  <c r="F148" i="19"/>
  <c r="K127" i="19"/>
  <c r="K84" i="19"/>
  <c r="B77" i="19"/>
  <c r="F77" i="19" s="1"/>
  <c r="K75" i="19" s="1"/>
  <c r="I42" i="19"/>
  <c r="I41" i="19"/>
  <c r="I40" i="19"/>
  <c r="K28" i="19"/>
  <c r="K27" i="19"/>
  <c r="K26" i="19"/>
  <c r="G65" i="19" s="1"/>
  <c r="K63" i="19" s="1"/>
  <c r="K30" i="3"/>
  <c r="K26" i="13"/>
  <c r="K29" i="13" s="1"/>
  <c r="F148" i="13"/>
  <c r="C33" i="18"/>
  <c r="C34" i="18"/>
  <c r="C14" i="18"/>
  <c r="D8" i="17"/>
  <c r="D9" i="17" s="1"/>
  <c r="D7" i="17"/>
  <c r="G151" i="13"/>
  <c r="I152" i="13" s="1"/>
  <c r="H120" i="13"/>
  <c r="K84" i="13"/>
  <c r="K81" i="13"/>
  <c r="F80" i="13"/>
  <c r="G80" i="13" s="1"/>
  <c r="K78" i="13" s="1"/>
  <c r="K72" i="13"/>
  <c r="K70" i="13"/>
  <c r="F68" i="13"/>
  <c r="K66" i="13" s="1"/>
  <c r="K27" i="13"/>
  <c r="K127" i="13"/>
  <c r="I42" i="13"/>
  <c r="I41" i="13"/>
  <c r="I40" i="13"/>
  <c r="K28" i="3"/>
  <c r="I52" i="3"/>
  <c r="I42" i="3"/>
  <c r="I41" i="3"/>
  <c r="F153" i="3"/>
  <c r="G156" i="3"/>
  <c r="I157" i="3" s="1"/>
  <c r="K129" i="3"/>
  <c r="I52" i="13"/>
  <c r="I59" i="13" s="1"/>
  <c r="C13" i="18"/>
  <c r="C41" i="18"/>
  <c r="I33" i="3"/>
  <c r="K31" i="3" s="1"/>
  <c r="K29" i="3"/>
  <c r="B77" i="13"/>
  <c r="F77" i="13" s="1"/>
  <c r="K75" i="13" s="1"/>
  <c r="K28" i="13"/>
  <c r="C22" i="18"/>
  <c r="H120" i="19"/>
  <c r="H102" i="13"/>
  <c r="H102" i="19"/>
  <c r="D34" i="18"/>
  <c r="D14" i="18"/>
  <c r="D22" i="18"/>
  <c r="D28" i="18"/>
  <c r="E28" i="18" s="1"/>
  <c r="D21" i="18"/>
  <c r="D27" i="18"/>
  <c r="D13" i="18"/>
  <c r="D33" i="18"/>
  <c r="C27" i="18"/>
  <c r="C7" i="18"/>
  <c r="E7" i="18" s="1"/>
  <c r="E13" i="17"/>
  <c r="E34" i="18" l="1"/>
  <c r="H121" i="19"/>
  <c r="H122" i="19" s="1"/>
  <c r="H121" i="13"/>
  <c r="H122" i="13" s="1"/>
  <c r="I43" i="13"/>
  <c r="E27" i="18"/>
  <c r="E29" i="18" s="1"/>
  <c r="G8" i="17" s="1"/>
  <c r="H8" i="17" s="1"/>
  <c r="K30" i="13"/>
  <c r="I43" i="19"/>
  <c r="K35" i="3"/>
  <c r="F41" i="18"/>
  <c r="H41" i="18" s="1"/>
  <c r="I33" i="19"/>
  <c r="K31" i="19" s="1"/>
  <c r="I33" i="13"/>
  <c r="K31" i="13" s="1"/>
  <c r="G65" i="13"/>
  <c r="K63" i="13" s="1"/>
  <c r="K88" i="13" s="1"/>
  <c r="K78" i="19"/>
  <c r="K88" i="19" s="1"/>
  <c r="E42" i="18"/>
  <c r="F42" i="18" s="1"/>
  <c r="H42" i="18" s="1"/>
  <c r="K29" i="19"/>
  <c r="I43" i="3"/>
  <c r="E33" i="18"/>
  <c r="E35" i="18" s="1"/>
  <c r="G9" i="17" s="1"/>
  <c r="H9" i="17" s="1"/>
  <c r="K30" i="19"/>
  <c r="E22" i="18"/>
  <c r="E14" i="18"/>
  <c r="E21" i="18"/>
  <c r="E13" i="18"/>
  <c r="E15" i="16"/>
  <c r="I59" i="3"/>
  <c r="E9" i="18"/>
  <c r="G4" i="17" s="1"/>
  <c r="H4" i="17" s="1"/>
  <c r="K35" i="13" l="1"/>
  <c r="K117" i="3"/>
  <c r="K160" i="3"/>
  <c r="K75" i="3"/>
  <c r="K78" i="3"/>
  <c r="K35" i="19"/>
  <c r="K92" i="19" s="1"/>
  <c r="E15" i="18"/>
  <c r="G5" i="17" s="1"/>
  <c r="H5" i="17" s="1"/>
  <c r="E23" i="18"/>
  <c r="G7" i="17" s="1"/>
  <c r="H7" i="17" s="1"/>
  <c r="H43" i="18"/>
  <c r="G11" i="17" s="1"/>
  <c r="H11" i="17" s="1"/>
  <c r="K92" i="13"/>
  <c r="K42" i="13"/>
  <c r="K106" i="13"/>
  <c r="K155" i="13"/>
  <c r="K40" i="13"/>
  <c r="K46" i="13"/>
  <c r="K41" i="13"/>
  <c r="K40" i="19"/>
  <c r="K46" i="3"/>
  <c r="K42" i="3"/>
  <c r="K41" i="3"/>
  <c r="K40" i="3"/>
  <c r="K155" i="19" l="1"/>
  <c r="K42" i="19"/>
  <c r="K41" i="19"/>
  <c r="K106" i="19"/>
  <c r="K46" i="19"/>
  <c r="H14" i="17"/>
  <c r="H17" i="17" s="1"/>
  <c r="H18" i="17" s="1"/>
  <c r="K43" i="13"/>
  <c r="K43" i="19"/>
  <c r="K43" i="3"/>
  <c r="K47" i="3" l="1"/>
  <c r="K48" i="3" s="1"/>
  <c r="K58" i="3" s="1"/>
  <c r="K77" i="3" s="1"/>
  <c r="K76" i="3"/>
  <c r="K47" i="19"/>
  <c r="K48" i="19" s="1"/>
  <c r="K93" i="19"/>
  <c r="K94" i="19" s="1"/>
  <c r="K107" i="19"/>
  <c r="K108" i="19" s="1"/>
  <c r="K93" i="13"/>
  <c r="K94" i="13" s="1"/>
  <c r="K107" i="13"/>
  <c r="K108" i="13" s="1"/>
  <c r="K47" i="13"/>
  <c r="K48" i="13" s="1"/>
  <c r="K54" i="3" l="1"/>
  <c r="K52" i="3"/>
  <c r="K57" i="3"/>
  <c r="K55" i="3"/>
  <c r="K56" i="3"/>
  <c r="K50" i="3"/>
  <c r="K51" i="3"/>
  <c r="K79" i="3"/>
  <c r="K80" i="3" s="1"/>
  <c r="K87" i="3"/>
  <c r="K88" i="3" s="1"/>
  <c r="K90" i="3" s="1"/>
  <c r="K91" i="3" s="1"/>
  <c r="K81" i="3"/>
  <c r="K98" i="13"/>
  <c r="K101" i="13"/>
  <c r="K99" i="13"/>
  <c r="K100" i="13"/>
  <c r="K96" i="13"/>
  <c r="K97" i="13"/>
  <c r="K117" i="19"/>
  <c r="K110" i="19"/>
  <c r="K115" i="19"/>
  <c r="K113" i="19"/>
  <c r="K111" i="19"/>
  <c r="K121" i="19"/>
  <c r="K54" i="13"/>
  <c r="K58" i="13"/>
  <c r="K51" i="13"/>
  <c r="K52" i="13"/>
  <c r="K57" i="13"/>
  <c r="K55" i="13"/>
  <c r="K50" i="13"/>
  <c r="K56" i="13"/>
  <c r="K99" i="19"/>
  <c r="K100" i="19"/>
  <c r="K96" i="19"/>
  <c r="K101" i="19"/>
  <c r="K97" i="19"/>
  <c r="K98" i="19"/>
  <c r="K111" i="13"/>
  <c r="K115" i="13"/>
  <c r="K110" i="13"/>
  <c r="K117" i="13"/>
  <c r="K113" i="13"/>
  <c r="K121" i="13"/>
  <c r="K51" i="19"/>
  <c r="K54" i="19"/>
  <c r="K52" i="19"/>
  <c r="K57" i="19"/>
  <c r="K55" i="19"/>
  <c r="K58" i="19"/>
  <c r="K56" i="19"/>
  <c r="K50" i="19"/>
  <c r="K82" i="3" l="1"/>
  <c r="K84" i="3" s="1"/>
  <c r="K85" i="3" s="1"/>
  <c r="K59" i="3"/>
  <c r="K71" i="3" s="1"/>
  <c r="K102" i="19"/>
  <c r="K157" i="19" s="1"/>
  <c r="K59" i="13"/>
  <c r="K89" i="13" s="1"/>
  <c r="K156" i="13" s="1"/>
  <c r="K102" i="13"/>
  <c r="K157" i="13" s="1"/>
  <c r="K59" i="19"/>
  <c r="K89" i="19" s="1"/>
  <c r="K120" i="19"/>
  <c r="K122" i="19" s="1"/>
  <c r="K129" i="19" s="1"/>
  <c r="K158" i="19" s="1"/>
  <c r="K120" i="13"/>
  <c r="K122" i="13" s="1"/>
  <c r="K129" i="13" s="1"/>
  <c r="K158" i="13" s="1"/>
  <c r="K93" i="3" l="1"/>
  <c r="K94" i="3" s="1"/>
  <c r="K118" i="3"/>
  <c r="K161" i="3"/>
  <c r="K133" i="13"/>
  <c r="K135" i="13" s="1"/>
  <c r="K159" i="13" s="1"/>
  <c r="K156" i="19"/>
  <c r="K133" i="19"/>
  <c r="K135" i="19" s="1"/>
  <c r="K159" i="19" s="1"/>
  <c r="K96" i="3" l="1"/>
  <c r="K97" i="3" s="1"/>
  <c r="K98" i="3" s="1"/>
  <c r="K137" i="19"/>
  <c r="I142" i="19"/>
  <c r="K142" i="19" s="1"/>
  <c r="K137" i="13"/>
  <c r="I142" i="13"/>
  <c r="K119" i="3" l="1"/>
  <c r="K120" i="3" s="1"/>
  <c r="K121" i="3" s="1"/>
  <c r="K122" i="3" s="1"/>
  <c r="K123" i="3" s="1"/>
  <c r="K124" i="3" s="1"/>
  <c r="K131" i="3" s="1"/>
  <c r="K163" i="3" s="1"/>
  <c r="K162" i="3"/>
  <c r="K142" i="13"/>
  <c r="I143" i="19"/>
  <c r="K142" i="3" l="1"/>
  <c r="I147" i="3" s="1"/>
  <c r="K147" i="3" s="1"/>
  <c r="K143" i="19"/>
  <c r="I144" i="19" s="1"/>
  <c r="I143" i="13"/>
  <c r="I148" i="3" l="1"/>
  <c r="K143" i="13"/>
  <c r="K146" i="19"/>
  <c r="K144" i="19"/>
  <c r="K149" i="19"/>
  <c r="K145" i="19"/>
  <c r="K150" i="19"/>
  <c r="K147" i="19"/>
  <c r="K148" i="3" l="1"/>
  <c r="I149" i="3" s="1"/>
  <c r="K152" i="19"/>
  <c r="K160" i="19" s="1"/>
  <c r="K161" i="19" s="1"/>
  <c r="I144" i="13"/>
  <c r="K152" i="3" l="1"/>
  <c r="K150" i="3"/>
  <c r="K149" i="3"/>
  <c r="K146" i="13"/>
  <c r="K147" i="13"/>
  <c r="K144" i="13"/>
  <c r="K145" i="13"/>
  <c r="K150" i="13"/>
  <c r="K149" i="13"/>
  <c r="K152" i="13" l="1"/>
  <c r="K160" i="13" s="1"/>
  <c r="K161" i="13" s="1"/>
  <c r="K151" i="3"/>
  <c r="K154" i="3"/>
  <c r="K155" i="3"/>
  <c r="K157" i="3" l="1"/>
  <c r="K165" i="3" s="1"/>
  <c r="K166" i="3" s="1"/>
  <c r="M165" i="3" l="1"/>
  <c r="F8" i="40"/>
  <c r="H8" i="40" s="1"/>
  <c r="N139" i="3"/>
  <c r="O139" i="3" s="1"/>
  <c r="P139" i="3" s="1"/>
  <c r="G8" i="40" l="1"/>
  <c r="H15" i="40" l="1"/>
  <c r="H16" i="40" l="1"/>
  <c r="H17" i="40" s="1"/>
  <c r="H18" i="40" s="1"/>
  <c r="H36" i="4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Pereira Soares</author>
    <author>Andreia Alves de Lima</author>
  </authors>
  <commentList>
    <comment ref="A24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NOTA 1: O Módulo 1 refere-se ao valor mensal devido ao empregado pela prestação do serviço no período de 12 meses.</t>
        </r>
      </text>
    </comment>
    <comment ref="A37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natalina, férias e adicional de férias. (Redação dada pela Instrução Normativa nº 7, de 2018)
Nota 2: O adicional de férias contido no Submódulo 2.1 corresponde a 1/3 (um terço) da remuneração que por sua vez é divido por 12 (doze) conforme Nota 1 acima.
Nota 3: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 (Incluído pela Instrução Normativa nº 7, de 2018)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45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1, o Submódulo 2.1. (Redação dada pela Instrução Normativa nº 7, de 2018)</t>
        </r>
      </text>
    </comment>
    <comment ref="I52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INFORMAÇÃO A SER PREENCHIDA PELA LICITANTE (entre 1% e 3%)</t>
        </r>
      </text>
    </comment>
    <comment ref="A61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desta Instrução Normativa.</t>
        </r>
      </text>
    </comment>
    <comment ref="A100" authorId="1" shapeId="0" xr:uid="{00000000-0006-0000-0100-000006000000}">
      <text>
        <r>
          <rPr>
            <b/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33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 xml:space="preserve">Nota: Valores mensais por empregado
</t>
        </r>
      </text>
    </comment>
    <comment ref="B149" authorId="0" shapeId="0" xr:uid="{00000000-0006-0000-0100-000008000000}">
      <text>
        <r>
          <rPr>
            <b/>
            <sz val="9"/>
            <color indexed="81"/>
            <rFont val="Segoe UI"/>
            <family val="2"/>
          </rPr>
          <t xml:space="preserve">ATENÇÃO: OS PERCENTUAIS DEVEM SER AJUSTADOS AO REGIME DE FATURAMENTO DA LICITANTE.
OS PERCENTUAIS DE REFERÊNCIA SÃO PARA EMPRESAS QUE RECOLHEM SOBRE O LUCRO REAL.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Pereira Soares</author>
  </authors>
  <commentList>
    <comment ref="A24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NOTA 1: O Módulo 1 refere-se ao valor mensal devido ao empregado pela prestação do serviço no período de 12 meses.</t>
        </r>
      </text>
    </comment>
    <comment ref="K26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 xml:space="preserve">SALÁRIO BASE PROPORCIONAL À CARGA HORÁRIA SEMANAL
</t>
        </r>
      </text>
    </comment>
    <comment ref="A37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natalina, férias e adicional de férias. (Redação dada pela Instrução Normativa nº 7, de 2018)
Nota 2: O adicional de férias contido no Submódulo 2.1 corresponde a 1/3 (um terço) da remuneração que por sua vez é divido por 12 (doze) conforme Nota 1 acima.
Nota 3: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 (Incluído pela Instrução Normativa nº 7, de 2018)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45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1, o Submódulo 2.1. (Redação dada pela Instrução Normativa nº 7, de 2018)</t>
        </r>
      </text>
    </comment>
    <comment ref="I52" authorId="0" shapeId="0" xr:uid="{00000000-0006-0000-0200-000005000000}">
      <text>
        <r>
          <rPr>
            <b/>
            <sz val="9"/>
            <color indexed="81"/>
            <rFont val="Segoe UI"/>
            <family val="2"/>
          </rPr>
          <t>INFORMAÇÃO A SER PREENCHIDA PELA LICITANTE (entre 1% e 3%)</t>
        </r>
      </text>
    </comment>
    <comment ref="A61" authorId="0" shapeId="0" xr:uid="{00000000-0006-0000-0200-000006000000}">
      <text>
        <r>
          <rPr>
            <b/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desta Instrução Normativa.</t>
        </r>
      </text>
    </comment>
    <comment ref="A91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A131" authorId="0" shapeId="0" xr:uid="{00000000-0006-0000-0200-000008000000}">
      <text>
        <r>
          <rPr>
            <b/>
            <sz val="9"/>
            <color indexed="81"/>
            <rFont val="Segoe UI"/>
            <family val="2"/>
          </rPr>
          <t xml:space="preserve">Nota: Valores mensais por empregado
</t>
        </r>
      </text>
    </comment>
    <comment ref="B144" authorId="0" shapeId="0" xr:uid="{00000000-0006-0000-0200-000009000000}">
      <text>
        <r>
          <rPr>
            <b/>
            <sz val="9"/>
            <color indexed="81"/>
            <rFont val="Segoe UI"/>
            <family val="2"/>
          </rPr>
          <t xml:space="preserve">ATENÇÃO: OS PERCENTUAIS DEVEM SER AJUSTADOS AO REGIME DE FATURAMENTO DA LICITANTE.
OS PERCENTUAIS DE REFERÊNCIA SÃO PARA EMPRESAS QUE RECOLHEM SOBRE O LUCRO REAL.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Pereira Soares</author>
  </authors>
  <commentList>
    <comment ref="A24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NOTA 1: O Módulo 1 refere-se ao valor mensal devido ao empregado pela prestação do serviço no período de 12 meses.</t>
        </r>
      </text>
    </comment>
    <comment ref="K26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 xml:space="preserve">SALÁRIO BASE PROPORCIONAL À CARGA HORÁRIA SEMANAL
</t>
        </r>
      </text>
    </comment>
    <comment ref="A37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natalina, férias e adicional de férias. (Redação dada pela Instrução Normativa nº 7, de 2018)
Nota 2: O adicional de férias contido no Submódulo 2.1 corresponde a 1/3 (um terço) da remuneração que por sua vez é divido por 12 (doze) conforme Nota 1 acima.
Nota 3: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 (Incluído pela Instrução Normativa nº 7, de 2018)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45" authorId="0" shapeId="0" xr:uid="{00000000-0006-0000-0300-000004000000}">
      <text>
        <r>
          <rPr>
            <b/>
            <sz val="9"/>
            <color indexed="81"/>
            <rFont val="Segoe UI"/>
            <family val="2"/>
          </rPr>
          <t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1, o Submódulo 2.1. (Redação dada pela Instrução Normativa nº 7, de 2018)</t>
        </r>
      </text>
    </comment>
    <comment ref="I52" authorId="0" shapeId="0" xr:uid="{00000000-0006-0000-0300-000005000000}">
      <text>
        <r>
          <rPr>
            <b/>
            <sz val="9"/>
            <color indexed="81"/>
            <rFont val="Segoe UI"/>
            <family val="2"/>
          </rPr>
          <t>INFORMAÇÃO A SER PREENCHIDA PELA LICITANTE (entre 1% e 3%)</t>
        </r>
      </text>
    </comment>
    <comment ref="A61" authorId="0" shapeId="0" xr:uid="{00000000-0006-0000-0300-000006000000}">
      <text>
        <r>
          <rPr>
            <b/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desta Instrução Normativa.</t>
        </r>
      </text>
    </comment>
    <comment ref="A91" authorId="0" shapeId="0" xr:uid="{00000000-0006-0000-0300-000007000000}">
      <text>
        <r>
          <rPr>
            <b/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A131" authorId="0" shapeId="0" xr:uid="{00000000-0006-0000-0300-000008000000}">
      <text>
        <r>
          <rPr>
            <b/>
            <sz val="9"/>
            <color indexed="81"/>
            <rFont val="Segoe UI"/>
            <family val="2"/>
          </rPr>
          <t xml:space="preserve">Nota: Valores mensais por empregado
</t>
        </r>
      </text>
    </comment>
    <comment ref="B144" authorId="0" shapeId="0" xr:uid="{00000000-0006-0000-0300-000009000000}">
      <text>
        <r>
          <rPr>
            <b/>
            <sz val="9"/>
            <color indexed="81"/>
            <rFont val="Segoe UI"/>
            <family val="2"/>
          </rPr>
          <t xml:space="preserve">ATENÇÃO: OS PERCENTUAIS DEVEM SER AJUSTADOS AO REGIME DE FATURAMENTO DA LICITANTE.
OS PERCENTUAIS DE REFERÊNCIA SÃO PARA EMPRESAS QUE RECOLHEM SOBRE O LUCRO REAL. </t>
        </r>
      </text>
    </comment>
  </commentList>
</comments>
</file>

<file path=xl/sharedStrings.xml><?xml version="1.0" encoding="utf-8"?>
<sst xmlns="http://schemas.openxmlformats.org/spreadsheetml/2006/main" count="1455" uniqueCount="622">
  <si>
    <t>DADOS REFERENTES À CONTRATAÇÃO E DISCRIMINAÇÃO DOS SERVIÇOS</t>
  </si>
  <si>
    <t>A</t>
  </si>
  <si>
    <t>Data de Apresentação da Proposta (Dia/Mês/Ano):</t>
  </si>
  <si>
    <t>B</t>
  </si>
  <si>
    <t>Município/UF:</t>
  </si>
  <si>
    <t>C</t>
  </si>
  <si>
    <t>D</t>
  </si>
  <si>
    <t>Classificação Brasileira de Ocupações (CBO)</t>
  </si>
  <si>
    <t>E</t>
  </si>
  <si>
    <t>Categoria Profissional (vinculada à execução contratual)</t>
  </si>
  <si>
    <t>F</t>
  </si>
  <si>
    <t>G</t>
  </si>
  <si>
    <t>H</t>
  </si>
  <si>
    <t>Mês e Ano da CCT/Sentença Normativa/Dissídio:</t>
  </si>
  <si>
    <t>I</t>
  </si>
  <si>
    <t>Data Base da Categoria</t>
  </si>
  <si>
    <t>J</t>
  </si>
  <si>
    <t>Número de Meses de Execução Contratual:</t>
  </si>
  <si>
    <t>MÓDULO 1 - COMPOSIÇÃO DA REMUNERAÇÃO</t>
  </si>
  <si>
    <t>Percentual</t>
  </si>
  <si>
    <t>VALOR</t>
  </si>
  <si>
    <t>Salário Base</t>
  </si>
  <si>
    <t>Outros (Especificar)</t>
  </si>
  <si>
    <t>TOTAL - MÓDULO 1 - REMUNERAÇÃO</t>
  </si>
  <si>
    <t>MÓDULO 2 - ENCARGOS E BENEFÍCIOS ANUAIS, MENSAIS E DIÁRIOS</t>
  </si>
  <si>
    <t>Alíquota</t>
  </si>
  <si>
    <t>Adicional de Férias</t>
  </si>
  <si>
    <t>TOTAL Submódulo 2.1</t>
  </si>
  <si>
    <t>Submódulo 2.2 - Encargos Previdenciários (GPS), Fundo de Garantia (FGTS) e Outas Contribuições</t>
  </si>
  <si>
    <t>TOTAL Submódulo 2.2</t>
  </si>
  <si>
    <t>Submódulo 2.3 - Benefícios Mensais e Diários</t>
  </si>
  <si>
    <t>Auxílio Alimentação</t>
  </si>
  <si>
    <t>Dias/Mês</t>
  </si>
  <si>
    <t>Valor Descontado do Trabalhador</t>
  </si>
  <si>
    <t>Nº Bilhetes</t>
  </si>
  <si>
    <t>Valor da Tarifa</t>
  </si>
  <si>
    <t>TOTAL Submódulo 2.3</t>
  </si>
  <si>
    <t>TOTAL - MÓDULO 2 - ENCARGOS E BENEFÍCIOS ANUAIS, MENSAIS E DIÁRIOS</t>
  </si>
  <si>
    <t>MÓDULO 3 - PROVISÃO PARA RESCISÃO</t>
  </si>
  <si>
    <t>Aviso Prévio Indenizado</t>
  </si>
  <si>
    <t>Incidência do FGTS sobre o Aviso Prévio Indenizado</t>
  </si>
  <si>
    <t>Aviso Prévio Trabalhado</t>
  </si>
  <si>
    <t>Incidência dos encargos do submódulo 2.2 sobre o Aviso Prévio Trabalhado</t>
  </si>
  <si>
    <t>TOTAL - MÓDULO 3 - PROVISÃO PARA RESCISÃO</t>
  </si>
  <si>
    <t>MÓDULO 4 - CUSTO DE REPOSIÇÃO DO PROFISSIONAL AUSENTE</t>
  </si>
  <si>
    <t>Percentual Anual de Incidência</t>
  </si>
  <si>
    <t>Percentual de Incidência Anual de Afastamento Maternidade</t>
  </si>
  <si>
    <t>Subtotal do Submódulo 4.1</t>
  </si>
  <si>
    <t>Incidência do Submódulo 2.2 sobre o Submódulo 4.1</t>
  </si>
  <si>
    <t>TOTAL Submódulo 4.1</t>
  </si>
  <si>
    <t>TOTAL Submódulo 4.2</t>
  </si>
  <si>
    <t>TOTAL - MÓDULO 4 - CUSTO DE REPOSIÇÃO DO PROFISSIONAL AUSENTE</t>
  </si>
  <si>
    <t>MÓDULO 5 - INSUMOS DIVERSOS</t>
  </si>
  <si>
    <t>TOTAL - MÓDULO 5 - INSUMOS DIVERSOS</t>
  </si>
  <si>
    <t>MÓDULO 6 - CUSTOS INDIRETOS, TRIBUTOS E LUCRO</t>
  </si>
  <si>
    <t>Base de Cálculo</t>
  </si>
  <si>
    <t>Custos Indiretos</t>
  </si>
  <si>
    <t>Lucro</t>
  </si>
  <si>
    <t>Tributos</t>
  </si>
  <si>
    <t>Tributos Federais</t>
  </si>
  <si>
    <t>PIS</t>
  </si>
  <si>
    <t>COFINS</t>
  </si>
  <si>
    <t>OUTROS</t>
  </si>
  <si>
    <t>Tributos Municipais</t>
  </si>
  <si>
    <t>ISSQN</t>
  </si>
  <si>
    <t>Outros Tributos</t>
  </si>
  <si>
    <t>Total das alíquotas dos tributos</t>
  </si>
  <si>
    <t>TOTAL - MÓDULO 6 - CUSTOS INDIRETOS, TRIBUTOS E LUCRO</t>
  </si>
  <si>
    <t>Módulo 1 - Composição da Remuneração</t>
  </si>
  <si>
    <t>Módulo 2 - Encargos e Benefícios Anuais, Mensais e Diários</t>
  </si>
  <si>
    <t>Módulo 3 - Provisão para Rescisão</t>
  </si>
  <si>
    <t>Módulo 4 - Custo para Reposição do Profissional Ausente</t>
  </si>
  <si>
    <t>Módulo 5 - Insumos Diversos</t>
  </si>
  <si>
    <t>Módulo 6 - Custos Indiretos, Tributos e Lucros</t>
  </si>
  <si>
    <t>VALOR TOTAL POR EMPREGADO</t>
  </si>
  <si>
    <t>Objeto:</t>
  </si>
  <si>
    <t>K</t>
  </si>
  <si>
    <t>Unidade de Medida</t>
  </si>
  <si>
    <t>L</t>
  </si>
  <si>
    <t xml:space="preserve">Submódulo 2.1 </t>
  </si>
  <si>
    <t>Base de Cálculo: Módulo 1 + Submódulo 2.1</t>
  </si>
  <si>
    <t>Auxílio Refeição</t>
  </si>
  <si>
    <t xml:space="preserve">Valor do Benefício </t>
  </si>
  <si>
    <t>Outros (preencher)</t>
  </si>
  <si>
    <t xml:space="preserve">Nome do Sindicato / Registro da CCT no MTE </t>
  </si>
  <si>
    <t>Submódulo 4.1 - Substituto nas Ausências Legais</t>
  </si>
  <si>
    <t>Substituto na Cobertura de Férias</t>
  </si>
  <si>
    <t>Substituto na Cobertura de Ausências Legais</t>
  </si>
  <si>
    <t>Número de ausências por ano (dias)</t>
  </si>
  <si>
    <t>Substituto na Cobertura de Licença Paternidade</t>
  </si>
  <si>
    <t>Substituto na Cobertura de Ausências por Acidente de Trabalho</t>
  </si>
  <si>
    <t>Substituto na Cobertura de Afastamento Maternidade</t>
  </si>
  <si>
    <t>Submódulo 4.2 - Substituto na Intrajornada</t>
  </si>
  <si>
    <t>Substituto na cobertura de Intervalo para repouso ou alimentação</t>
  </si>
  <si>
    <t>CUSTOS DIRETOS (SOMATÓRIA DOS MÓDULOS 1+2+3+4+5)</t>
  </si>
  <si>
    <t xml:space="preserve">Número do  Processo: </t>
  </si>
  <si>
    <t xml:space="preserve">Número da Licitação: </t>
  </si>
  <si>
    <t>Pregão Eletrônico nº XX/20XX</t>
  </si>
  <si>
    <t>Adicional de Periculosidade</t>
  </si>
  <si>
    <t>Adicional de Insalubridade</t>
  </si>
  <si>
    <t xml:space="preserve">percentual </t>
  </si>
  <si>
    <t>Adicional Noturno</t>
  </si>
  <si>
    <t xml:space="preserve">E </t>
  </si>
  <si>
    <t>Adicional de Hora Noturna Reduzida</t>
  </si>
  <si>
    <t>Substituto na cobertura de outras ausências (especificar)</t>
  </si>
  <si>
    <t>QUADRO-RESUMO DO CUSTO POR EMPREGADO</t>
  </si>
  <si>
    <t xml:space="preserve">Multa do FGTS e contribuição social sobre o Aviso Prévio Indenizado </t>
  </si>
  <si>
    <t>Multa do FGTS e contribuição social sobre o Aviso Prévio Trabalhado</t>
  </si>
  <si>
    <t>* Atenção: Os percentuais de B e C vinculam-se à opção de pagamento pelo fato gerador. Vide Caderno de Logística do Pagamento por Fato Gerador https://www.comprasgovernamentais.gov.br/images/conteudo/ArquivosCGNOR/fato_gerador.pdf</t>
  </si>
  <si>
    <t xml:space="preserve">Aviso Prévio Indenizado: Percentual cf. Acórdão do TCU nº 1904/2017 - Plenário: (5,55%) x (1/12) = 0,46% </t>
  </si>
  <si>
    <t>Incidência do FGTS sobre o Aviso Prévio Indenizado: Súmula nº 305 do TST + Acórdão do TCU nº 2217/2010 - Plenário: (8%) x (0,46%) = 0,03%</t>
  </si>
  <si>
    <t>Aviso Prévio Trabalhado: Percentual cf. Acórdãos do TCU nº 3006/2010 e 1094/2007 - Plenário</t>
  </si>
  <si>
    <t>Substituto na Cobertura de Ausências Legais: 5,96 (número de ausências médias/ano, dado do IBGE) / 365 (dias do ano) = 1,63%</t>
  </si>
  <si>
    <t>Substituto na Cobertura de Licença Paternidade: Percentual estatístico do IBGE: 1,5% de trabalhadores são pais durante o ano</t>
  </si>
  <si>
    <t>Substituto na Cobertura de Ausências por Acidente de Trabalho: Base de Cálculo:  [(15/30)/12] x 0,08 x 100 = 0,33% , OBS: 15 = número de dias em que o empregado repousa e contratada remunera, 30 = número de dias no mês, 12 = número de meses no ano, 8% = média dos trabalhadores que sofrem, acidente/ano, de acordo com estatísticas do IBGE ,100% = salário integral</t>
  </si>
  <si>
    <t>Substituto na Cobertura de Afastamento Maternidade: [0,02 x (4/12)/12 x 100] = 0,055%, OBS: 0,02 = índice de ocorrência. Dado utilizado do IBGE; 4/12 = 4 meses de licença maternidade por ano; 12 = meses do ano; 100 = porcentagem</t>
  </si>
  <si>
    <t>PIS: 0,65% - Lucro Presumido</t>
  </si>
  <si>
    <t>Cofins: 3,0% - Lucro Presumido</t>
  </si>
  <si>
    <t>RAT (%)</t>
  </si>
  <si>
    <t>FAP (%)</t>
  </si>
  <si>
    <t>Tipo de Serviço (CATSER)</t>
  </si>
  <si>
    <t>Submódulo 2.1 - 13º (décimo terceiro) Salário, Férias e Adicional de Férias</t>
  </si>
  <si>
    <t>13º (décimo terceiro) Salário</t>
  </si>
  <si>
    <t>Qtde. estimada de horas/mês</t>
  </si>
  <si>
    <t xml:space="preserve">Valor da hora com adicional </t>
  </si>
  <si>
    <t>Porcentual (50% ou 100%)</t>
  </si>
  <si>
    <t>horas mensais</t>
  </si>
  <si>
    <t>Carga horária mensal (quantidade de horas)</t>
  </si>
  <si>
    <t>Auxílio Transporte</t>
  </si>
  <si>
    <t>Auxílio Creche</t>
  </si>
  <si>
    <t>Seguro de Vida</t>
  </si>
  <si>
    <t xml:space="preserve">Valor Descontado do Trabalhador </t>
  </si>
  <si>
    <t>A autorização para o desconto deve estar prevista na CCT + A licitante deverá comprovar inscrição no PAT e deverá ser realizada até o limite permitido no Art. 458, § 1º da CLT (20% sobre o valor diário do benefício)</t>
  </si>
  <si>
    <t>Salário Normativo</t>
  </si>
  <si>
    <t>Valor Unitário</t>
  </si>
  <si>
    <t>Porcentual anual de incidência</t>
  </si>
  <si>
    <t>Auxílio Creche: Percentual Anual de Incidência - Memória de Cálculo: Quantidade de crianças matriculadas em creches no Estado de SP / divido pela quantidade de mulheres entre 10 e 55 anos vivendo no Estado de SP. A definição da fórmula foi extraída do Caderno de Logística para Serviços de Limpeza, Asseio e Conservação do MPDG</t>
  </si>
  <si>
    <t xml:space="preserve">Valor Anual </t>
  </si>
  <si>
    <t>Valor Mensal</t>
  </si>
  <si>
    <t>Valor Descontado do Trabalhador (6%)</t>
  </si>
  <si>
    <t xml:space="preserve">Adicional de hora extra </t>
  </si>
  <si>
    <t xml:space="preserve">Férias </t>
  </si>
  <si>
    <t>M</t>
  </si>
  <si>
    <t xml:space="preserve">Salário Mínimo Nacional </t>
  </si>
  <si>
    <t>INSS (Lei nº 8.212/1991, art. 22, I)</t>
  </si>
  <si>
    <t>Salário Educação (Decreto nº 87.043/1982, art. 3, I)</t>
  </si>
  <si>
    <t>Seguro Acidente de Trabalho = RAT x FAP (Decreto nº 3.048/1999)</t>
  </si>
  <si>
    <t>SESC ou SESI (Lei nº 8.036/1990, art. 3)</t>
  </si>
  <si>
    <t>SENAI ou SENAC (Decreto nº 2.318/1986)</t>
  </si>
  <si>
    <t>SEBRAE (Lei nº 8.029/1990 e Lei nº 8.154/1190)</t>
  </si>
  <si>
    <t>INCRA (Lei nº 7.787/1989 e DL nº 1.146/1970)</t>
  </si>
  <si>
    <t>FGTS (CF, art. 7º, III e Lei nº 8.030/1990, art. 15)</t>
  </si>
  <si>
    <t>ATENÇÃO! O VALOR MÁXIMO DE 3% PARA O RAT E DE 2% PARA O FAP APARECE PARA FINS DE PROVISIONAMENTO! DEVERÁ A LICITANTE AJUSTÁ-LO AOS ÍNCIDICES APLICÁVEIS AO GRAU DE RISCO DA ATIVIDADE E AO SEU FATOR ACIDENTÁRIO DE DE PREVENÇÃO!</t>
  </si>
  <si>
    <t>Percentual Calculado sobre o salário mínimo vigente</t>
  </si>
  <si>
    <r>
      <t xml:space="preserve">Adicional de Hora Extra: A ser paga </t>
    </r>
    <r>
      <rPr>
        <b/>
        <u/>
        <sz val="10"/>
        <rFont val="Calibri Light"/>
        <family val="2"/>
      </rPr>
      <t>apenas</t>
    </r>
    <r>
      <rPr>
        <b/>
        <sz val="10"/>
        <rFont val="Calibri Light"/>
        <family val="2"/>
      </rPr>
      <t xml:space="preserve"> na ocorrência do fato gerador (isto é, a eventual realização de horas extraordinárias) - Nos meses em que não houver ocorreência de horas extras, não deverá ser considerado para fins de cálculo algum. </t>
    </r>
  </si>
  <si>
    <t>ATENÇÃO: APAGAR BENEFÍCIOS QUE NÃO FOREM PREVISTOS NA CCT EM QUESTÃO. PARA FINS DE AFERIÇÃO, REFERENCIAR A CLÁUSULA DA CCT, AO LADO DA LINHA DE CADA BENEFÍCIO!</t>
  </si>
  <si>
    <r>
      <t xml:space="preserve">ANEXO </t>
    </r>
    <r>
      <rPr>
        <b/>
        <sz val="10"/>
        <color indexed="10"/>
        <rFont val="Calibri Light"/>
        <family val="2"/>
      </rPr>
      <t>III</t>
    </r>
    <r>
      <rPr>
        <b/>
        <sz val="10"/>
        <color indexed="8"/>
        <rFont val="Calibri Light"/>
        <family val="2"/>
      </rPr>
      <t xml:space="preserve"> - PLANILHA DE CUSTOS E FORMAÇÃO DE PREÇOS</t>
    </r>
  </si>
  <si>
    <t>Prestação de Serviços de Limpeza e Conservação</t>
  </si>
  <si>
    <t>PA nº 3214/2019</t>
  </si>
  <si>
    <t>Localidade</t>
  </si>
  <si>
    <t>M2</t>
  </si>
  <si>
    <t>5143-20</t>
  </si>
  <si>
    <r>
      <t>Salário Normativo da Categoria Profissional</t>
    </r>
    <r>
      <rPr>
        <sz val="10"/>
        <rFont val="Calibri Light"/>
        <family val="2"/>
      </rPr>
      <t xml:space="preserve"> </t>
    </r>
    <r>
      <rPr>
        <sz val="10"/>
        <rFont val="Calibri Light"/>
        <family val="2"/>
      </rPr>
      <t>(44 horas semanais/220 horas semanais)</t>
    </r>
  </si>
  <si>
    <t>01 DE JANEIRO</t>
  </si>
  <si>
    <t>COMUNICADO CONJUNTO DE 17/12/2019</t>
  </si>
  <si>
    <t>Benefício Médico Ambulatorial e Odontológico</t>
  </si>
  <si>
    <t>Valor do Benefício</t>
  </si>
  <si>
    <t>Benefício Social Familiar</t>
  </si>
  <si>
    <t>Benefício Natalidade</t>
  </si>
  <si>
    <t>N/A</t>
  </si>
  <si>
    <t>PRODUTIVIDADE</t>
  </si>
  <si>
    <t>ÁREAS INTERNAS</t>
  </si>
  <si>
    <t>Auxiliar de Limpeza</t>
  </si>
  <si>
    <t>TOTAL (R$/M2)</t>
  </si>
  <si>
    <t>ÁREAS EXTERNAS</t>
  </si>
  <si>
    <t>Área (m2)                  (1)</t>
  </si>
  <si>
    <t>Áreas Internas</t>
  </si>
  <si>
    <t>Banheiros</t>
  </si>
  <si>
    <t>Áreas Externas</t>
  </si>
  <si>
    <t>Pisos pavimentados adjacentes/contíguos às edificações</t>
  </si>
  <si>
    <t>Varrição de passeios e arruamentos</t>
  </si>
  <si>
    <t>Pátios e áreas verdes com média/baixa frequência</t>
  </si>
  <si>
    <t>Custos Indiretos e Lucro: Percentil Máximo SEGES Caderno Técnico Limpeza - São Paulo 2019.</t>
  </si>
  <si>
    <t xml:space="preserve">ISSQN: 5,0% - Máximo permitido (ANEXO 1 IN SF/SUREM Nº 8/2011) </t>
  </si>
  <si>
    <t>Produtividade IN 05/2017 (M2)</t>
  </si>
  <si>
    <t>PRODUTIVIDADE (1/M2)                               (1)</t>
  </si>
  <si>
    <t>SUBTOTAL (R$/M2)                            (3)                                (1)X(2)</t>
  </si>
  <si>
    <t>Uniformes</t>
  </si>
  <si>
    <t>Material de Limpeza e Equipamentos</t>
  </si>
  <si>
    <t>% da soma dos itens de custo para o cargo:</t>
  </si>
  <si>
    <t>LOCALIDADE</t>
  </si>
  <si>
    <t>SUBTOTAL MENSAL</t>
  </si>
  <si>
    <t>Subtotal das áreas da Unidade</t>
  </si>
  <si>
    <t>Preço Total Mensal para a Unidade</t>
  </si>
  <si>
    <t>QUADRO RESUMO</t>
  </si>
  <si>
    <t>Valor Mensal do Contrato</t>
  </si>
  <si>
    <t>Valor Total do Contrato</t>
  </si>
  <si>
    <t>meses</t>
  </si>
  <si>
    <t>MODELO DE PROPOSTA COMERCIAL</t>
  </si>
  <si>
    <t>CÁLCULO DA PRODUTIVIDADE  - IN 05/2017</t>
  </si>
  <si>
    <t>UNIDADE DE MEDIDA</t>
  </si>
  <si>
    <t>QUANTIDADE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</si>
  <si>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</si>
  <si>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PREÇO UNITÁRIO</t>
  </si>
  <si>
    <t>FREQUÊNCIA</t>
  </si>
  <si>
    <t>Mensal</t>
  </si>
  <si>
    <t>TIPO DE ÁREA / DESCRIÇÃO DOS SERVIÇOS</t>
  </si>
  <si>
    <t>Tipo de Área / Descrição dos Serviços</t>
  </si>
  <si>
    <t>MÃO DE OBRA</t>
  </si>
  <si>
    <t>METRAGEM</t>
  </si>
  <si>
    <t>PREÇO HOMEM-MÊS (R$)                                   (2)</t>
  </si>
  <si>
    <t>Pisos acarpetados/vinílico</t>
  </si>
  <si>
    <t>COREN-SP SUBSEÇÃO ARAÇATUBA</t>
  </si>
  <si>
    <t>Araçatuba / SP</t>
  </si>
  <si>
    <t>SIEMACO-SP / SP005078/2019</t>
  </si>
  <si>
    <t>CLÁUSULA DÉCIMA SEXTA - SP005078/2019</t>
  </si>
  <si>
    <t>CLÁUSULA DÉCIMA SÉTIMA - SP005078/2019</t>
  </si>
  <si>
    <t>CLÁUSULA DÉCIMA OITAVA - SP005078/2019</t>
  </si>
  <si>
    <t>CLÁUSULA DÉCIMA NONA - SP005078/2019</t>
  </si>
  <si>
    <t>Serviços de Limpeza e Conservação - 25194</t>
  </si>
  <si>
    <t>5143-05</t>
  </si>
  <si>
    <t>Limpador de Vidros - Diurno</t>
  </si>
  <si>
    <t>220 horas mensais</t>
  </si>
  <si>
    <t>Esquadrias e Fachadas</t>
  </si>
  <si>
    <t>Esquadria - face interna (sem exposição a situação de risco)</t>
  </si>
  <si>
    <t>ESQUADRIAS E FACHADAS</t>
  </si>
  <si>
    <t>FREQUÊNCIA NO MÊS (HORAS)                              (2)</t>
  </si>
  <si>
    <t>JORNADA DE TRABALHO NO SEMESTRE (HORAS)                                      (3)</t>
  </si>
  <si>
    <t>(4)               (1)X(2)X(3)</t>
  </si>
  <si>
    <t>PREÇO HOMEM-MÊS (R$)                            (2)</t>
  </si>
  <si>
    <t>SUBTOTAL (R$/M2)            (6)                                (4)X(5)</t>
  </si>
  <si>
    <t>Limpador de Vidros</t>
  </si>
  <si>
    <t>Quadro Complementar - Jornada de trabalho no quadrimestre:</t>
  </si>
  <si>
    <t>Número de dias de trabalho por ano:</t>
  </si>
  <si>
    <t>Número de meses no ano:</t>
  </si>
  <si>
    <t>Número de dias por mês:</t>
  </si>
  <si>
    <t>Número de dias na semana:</t>
  </si>
  <si>
    <t>Número de semanas no mês:</t>
  </si>
  <si>
    <t>Número de horas semanais - jornada:</t>
  </si>
  <si>
    <t>44 h/s</t>
  </si>
  <si>
    <t>Número de horas no mês:</t>
  </si>
  <si>
    <t>Número de horas no quadrimestre:</t>
  </si>
  <si>
    <t>ESQUADRIAS</t>
  </si>
  <si>
    <t>Multa do FGTS e Contribuição Socual sobre o Aviso Prévio Indenizado - Memória de Cálculo: [0,08*(0,40)*0,9]*(1+0,0833+0,0833+0,0278)=3,44%, sendo que: (0,08) = Alíquota do FGTS (8%); (0,40) = Valor da Multa do FGTS indenizado (40%); (0,90) = 90% dos funcionários remanescentes (LC nº110/2001. Estudos CNJ – Resolução nº 98/2009); 1= remuneração integral; (0,0833) = % do 13º salário; (0,0833) = % de férias (pagamento pelo fato gerador); (0,0278) = % adicional de férias (pagamento pelo fato gerador)</t>
  </si>
  <si>
    <t>Multa do FGTS e contribuição social sobre o Aviso Prévio Trabalhado: [0,08 x (0,4)] x [% Incidência dos Encargos do Submódulo 2.2] = 0,02 %, OBS: (0,08) = Alíquota do FGTS, (0,40) = Valor da Multa do FGTS trabalhado, (% Incidência dos Encargos do Submódulo 2.2) = % do item E</t>
  </si>
  <si>
    <t>Servente de Limpeza Líder</t>
  </si>
  <si>
    <t>Servente de Limpeza Líder - Diurno</t>
  </si>
  <si>
    <t>Semestral</t>
  </si>
  <si>
    <t>* Atenção: Os percentuais do submódulo 2.1 vinculam-se à opção de pagamento pelo fato gerador. Vide Caderno de Logística do Pagamento por Fato Gerador https://www.comprasgovernamentais.gov.br/images/conteudo/ArquivosCGNOR/fato_gerador.pdf</t>
  </si>
  <si>
    <t>Submódulo 3.1 - Aviso Prévio Indenizado</t>
  </si>
  <si>
    <t>Submódulo 2.1 - 13º Salário, Férias e Adicional de Férias</t>
  </si>
  <si>
    <t>Provisionamento para 12 meses (vigência contratual)</t>
  </si>
  <si>
    <t>Base de cálculo do Aviso Prévio Indenizado</t>
  </si>
  <si>
    <t>Percentual de Incidência</t>
  </si>
  <si>
    <t>Valor</t>
  </si>
  <si>
    <t>Valor do Aviso Prévio Indenizado</t>
  </si>
  <si>
    <t>Submódulo 3.2- Aviso Prévio Trabalhado</t>
  </si>
  <si>
    <t>Base de cálculo do Aviso Prévio Trabalhado</t>
  </si>
  <si>
    <t>Valor do Aviso Prévio Trabalhado</t>
  </si>
  <si>
    <t>ATENÇÃO LICITANTE! O VALOR MÁXIMO ACEITO PARA O SAT (SEGURO ACIDENTE DE TRABALHO) É 3%, SENDO QUE, ESPECIFICAMENTE, PARA O FAP O FATOR MÁXIMO ACEITO É DE 1,0. ESSES LIMITES SERÃO OBSERVADOS NO RECEBIMENTO DAS PROPOSTAS.</t>
  </si>
  <si>
    <t>Base de Cálculo: Módulo 1 + Módulo 2 + Módulo 3</t>
  </si>
  <si>
    <t>Unidade</t>
  </si>
  <si>
    <t>Item</t>
  </si>
  <si>
    <t>Par</t>
  </si>
  <si>
    <t>EQUIPAMENTOS</t>
  </si>
  <si>
    <t>São Paulo / SP</t>
  </si>
  <si>
    <t>Código CATMAT</t>
  </si>
  <si>
    <t>Quantidade Estimada</t>
  </si>
  <si>
    <t>Camiseta manga curta, malha fina</t>
  </si>
  <si>
    <t>Calça de brim 100% algodão ou similar, cintura 1/2 cós com passador, 1/2 elástico, 2 bolsos frontais e 2 bolsos traseiros</t>
  </si>
  <si>
    <t>Jaleco de brim 100% algodão ou similar, com bolso sobreposto na lateral esquerda ou direita</t>
  </si>
  <si>
    <t>Jaqueta em nylon ou similar, forrado, com bolso na parte superior embutido ou na parte interna</t>
  </si>
  <si>
    <t>Meias de algodão</t>
  </si>
  <si>
    <t xml:space="preserve">Vida útil (meses) </t>
  </si>
  <si>
    <t>Óculos de segurança escuro</t>
  </si>
  <si>
    <t>Protetor solar - FPS 30 - Frasco 120g</t>
  </si>
  <si>
    <t>Luvas de cobertura em vaqueta</t>
  </si>
  <si>
    <t>Luva de vaqueta mista</t>
  </si>
  <si>
    <t>Respirador PFF2</t>
  </si>
  <si>
    <t>EQUIPAMENTOS DE PROTEÇÃO INDIVIDUAL</t>
  </si>
  <si>
    <t>VALOR TOTAL MENSAL POR POSTO</t>
  </si>
  <si>
    <t xml:space="preserve">Valor unitário </t>
  </si>
  <si>
    <t>Vida útil (meses)</t>
  </si>
  <si>
    <t>EPI's</t>
  </si>
  <si>
    <t>Valor Anual</t>
  </si>
  <si>
    <t>FERRAMENTAS</t>
  </si>
  <si>
    <t>Especificação</t>
  </si>
  <si>
    <t>INSUMOS</t>
  </si>
  <si>
    <t>Insumos</t>
  </si>
  <si>
    <t>Ferramentas</t>
  </si>
  <si>
    <t>Equipamentos</t>
  </si>
  <si>
    <t>QUANTIDADE DE POSTOS</t>
  </si>
  <si>
    <t>ITEM</t>
  </si>
  <si>
    <t>DESCRIÇÃO</t>
  </si>
  <si>
    <t>VALOR MENSAL</t>
  </si>
  <si>
    <t>OBSERVAÇÃO PARA O LICITANTE - CAMPOS EDITÁVEIS EM AMARELO</t>
  </si>
  <si>
    <t>Valor Unitário Total</t>
  </si>
  <si>
    <r>
      <t xml:space="preserve">ANEXO </t>
    </r>
    <r>
      <rPr>
        <b/>
        <sz val="10"/>
        <rFont val="Calibri Light"/>
        <family val="2"/>
      </rPr>
      <t>VIII - PLANILHA DE CUSTOS E FORMAÇÃO DE PREÇOS</t>
    </r>
  </si>
  <si>
    <t>VALOR ANUAL ESTIMADO</t>
  </si>
  <si>
    <t>Total Mensal</t>
  </si>
  <si>
    <t xml:space="preserve">VALOR MENSAL DOS EQUIPAMENTOS A SEREM UTILIZADOS NA EXECUÇÃO CONTRATUAL </t>
  </si>
  <si>
    <t>Submódulo 2.2 - Apenas o FGTS</t>
  </si>
  <si>
    <t>Subtotal: Módulo 1 + Submódulo 2.1 + FGTS (Submódulo 2.2) + Submódulo 2.3</t>
  </si>
  <si>
    <t>Multa sobre o FGTS (40%)</t>
  </si>
  <si>
    <t>TOTAL Submódulo 3.1</t>
  </si>
  <si>
    <t>TOTAL Submódulo 3.2</t>
  </si>
  <si>
    <t>Acrésimo de 3 dias por ano completado</t>
  </si>
  <si>
    <t>Quantidade de anos completados</t>
  </si>
  <si>
    <t>TOTAL Submódulo 3.3</t>
  </si>
  <si>
    <t>Cálculo do número de dias de reposição do profissional ausente para cada evento</t>
  </si>
  <si>
    <t>Evento</t>
  </si>
  <si>
    <t>Incidência anual</t>
  </si>
  <si>
    <t>Duração legal da ausência</t>
  </si>
  <si>
    <t>Proporção de dias afetados</t>
  </si>
  <si>
    <t>Dias de reposição</t>
  </si>
  <si>
    <t>Férias</t>
  </si>
  <si>
    <t>Ausência justificada</t>
  </si>
  <si>
    <t>Acidente de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</si>
  <si>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</si>
  <si>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</si>
  <si>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</si>
  <si>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</si>
  <si>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</si>
  <si>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</si>
  <si>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</si>
  <si>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</si>
  <si>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</si>
  <si>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Limite de dias para reposição no ano</t>
  </si>
  <si>
    <t>Custo diário de reposição = (Módulo 1 + Módulo 2 + Módulo 3) / 30 dias</t>
  </si>
  <si>
    <t>Custo anual de reposição = Custo diário de reposição x Total de dias para reposição no ano</t>
  </si>
  <si>
    <t>Provisão mensal do custo de reposição</t>
  </si>
  <si>
    <r>
      <t xml:space="preserve">Submódulo 3.3 - Acréscimo sobre o Aviso Prévio a ser considerado como indenizado </t>
    </r>
    <r>
      <rPr>
        <b/>
        <sz val="10"/>
        <color rgb="FFFF0000"/>
        <rFont val="Calibri Light"/>
        <family val="2"/>
        <scheme val="major"/>
      </rPr>
      <t>(Aplicável somente nos casos de prorrogação contratual)</t>
    </r>
  </si>
  <si>
    <t>Base de Cálculo: Submódulo 3.1 + Submódulo 3.2</t>
  </si>
  <si>
    <t>Provisionamento para cada ano completado (10%)</t>
  </si>
  <si>
    <t>POSTO / CBO/SERVIÇO</t>
  </si>
  <si>
    <t>Mecânico de manutenção, instalação de aparelho de climatização/refrigeração – CBO 3141-15</t>
  </si>
  <si>
    <t>1 (um) posto com c/h de 44 (quarenta e quatro) horas semanais</t>
  </si>
  <si>
    <t>Engenheiro Mecânico – CBO 2144-05</t>
  </si>
  <si>
    <t>10 (dez) horas mensais</t>
  </si>
  <si>
    <t>Técnico em eletricidade e eletrônica– CBO 3131</t>
  </si>
  <si>
    <t>06 (seis) horas mensais</t>
  </si>
  <si>
    <t>Mecânico manutenção, instalação de aparelho climatização/refrigeração – CBO 3141-15</t>
  </si>
  <si>
    <t>Insumos destinados à composição de estoque mínimo necessário às rotinas de manutenção preventiva e corretiva (fornecimento sob demanda)</t>
  </si>
  <si>
    <t>Conforme Lista da Aba "Materiais e Peças de Reposição" da Planilha de Custos e Formação de Preços.</t>
  </si>
  <si>
    <t>Itens não previstos na relação de materiais de consumo, materiais e peças de reposição (fornecimento sob demanda)</t>
  </si>
  <si>
    <t>Mensalmente</t>
  </si>
  <si>
    <t>Limpeza de rede de duto</t>
  </si>
  <si>
    <t>Prestação de serviços continuados de manutenção preventiva e corretiva dos sistemas de climatização, incluindo mão de obra com dedicação exclusiva, materiais e equipamentos necessários à manutenção, nas instalações e nos equipamentos instalados nos edifícios Sede e Coren-SP Educação do Conselho Regional de Enfermagem de São Paulo</t>
  </si>
  <si>
    <t>SEDE E COREN-SP EDUCAÇÃO</t>
  </si>
  <si>
    <t>2771 – Ar condicionado - manutenção de sistemas, limpeza</t>
  </si>
  <si>
    <t>Posto</t>
  </si>
  <si>
    <t>3141-15</t>
  </si>
  <si>
    <t>Mecânico de manutenção, instalação de aparelho de climatização/refrigeração - 44 horas semanais - Diurno</t>
  </si>
  <si>
    <t>Porcentagem máxima aceita pela Administração de acordo com a pesquisa de preços.</t>
  </si>
  <si>
    <t>CARGO</t>
  </si>
  <si>
    <t>CBO</t>
  </si>
  <si>
    <t>VALOR DA HORA</t>
  </si>
  <si>
    <t>SUBTOTAL (MÃO DE OBRA)</t>
  </si>
  <si>
    <t>BDI</t>
  </si>
  <si>
    <t>TOTAL GERAL</t>
  </si>
  <si>
    <t>OBSERVAÇÕES PARA O LICITANTE: CAMPOS EDITÁVEIS EM AMARELO</t>
  </si>
  <si>
    <t>O BDI PARA ESTA PLANILHA DEVERÁ SER PREENCHIDO NA PLANILHA "BDI MOB NÃO RESIDENTE"</t>
  </si>
  <si>
    <t>Engenheiro Mecânico</t>
  </si>
  <si>
    <t>2144-05</t>
  </si>
  <si>
    <t>Técnico em eletricidade e eletrônica</t>
  </si>
  <si>
    <t>Mecânico manutenção, instalação de aparelhos climatização/refrigeração</t>
  </si>
  <si>
    <t>Administração Central</t>
  </si>
  <si>
    <t>Seguros e Garantias</t>
  </si>
  <si>
    <t>Despesas Financeiras</t>
  </si>
  <si>
    <t>Riscos e Imprevistos</t>
  </si>
  <si>
    <t>Lucro Bruto</t>
  </si>
  <si>
    <t>ISS</t>
  </si>
  <si>
    <t>TOTAL DO BDI</t>
  </si>
  <si>
    <t>Referências: 2º Quartil - Construções de Edifícios - Acórdão 2622/2013 - TCU - Plénário.</t>
  </si>
  <si>
    <t>OBSERVAÇÃO PARA O LICITANTE: CAMPOS EDITÁVEIS EM AMARELO</t>
  </si>
  <si>
    <t>QUADRO RESUMO DOS SERVIÇOS</t>
  </si>
  <si>
    <t>Total</t>
  </si>
  <si>
    <t>BDI - BENEFÍCIOS E DESPESAS INDIRETAS - MATERIAIS E INSUMOS</t>
  </si>
  <si>
    <t>Referências: 1º Quartil - Materiais - Acórdão 2622/2013 - TCU - Plénário.</t>
  </si>
  <si>
    <t>Descrição</t>
  </si>
  <si>
    <t>Bomba de vácuo 06 cfm bivolt 60hz</t>
  </si>
  <si>
    <t>Escada de fibra 6 degraus</t>
  </si>
  <si>
    <t>Lavadoura de alta pressão, vazão de água 360l/h bivolt</t>
  </si>
  <si>
    <t>Micrômetro interno</t>
  </si>
  <si>
    <t>Micrômetro externo</t>
  </si>
  <si>
    <t>Termômetro espeto;</t>
  </si>
  <si>
    <t>Alicate universal</t>
  </si>
  <si>
    <t>Alicate de pressão</t>
  </si>
  <si>
    <t>Alicate corte diagonal</t>
  </si>
  <si>
    <t>Alicate prensa terminal</t>
  </si>
  <si>
    <t>Jogo de chave hexagonal (tipo Allen) completo</t>
  </si>
  <si>
    <t>Martelo de borracha</t>
  </si>
  <si>
    <t>Saca polia 2 garras  200 x 170 mm</t>
  </si>
  <si>
    <t xml:space="preserve">Pacote c/ 100 </t>
  </si>
  <si>
    <t>Acoplamento falk e-97, e-83</t>
  </si>
  <si>
    <t>Anti ferrugem desengripante 206 - 300ml</t>
  </si>
  <si>
    <t>Barra roscada zincada 3/8</t>
  </si>
  <si>
    <t>Metro</t>
  </si>
  <si>
    <t>Jogo de brocas para concreto (10 peças)</t>
  </si>
  <si>
    <t>Correia AX 28</t>
  </si>
  <si>
    <t>Correia AX 36</t>
  </si>
  <si>
    <t>Correia AX 42</t>
  </si>
  <si>
    <t>Correia BX 112</t>
  </si>
  <si>
    <t>Correia BX 62</t>
  </si>
  <si>
    <t>Disco de corte</t>
  </si>
  <si>
    <t>Disco videa p/madeira 110mm</t>
  </si>
  <si>
    <t>Elemento elástico 82</t>
  </si>
  <si>
    <t>Elemento elástico 97</t>
  </si>
  <si>
    <t>Escova de aço </t>
  </si>
  <si>
    <t>Filtro manta G3 para fancoil 1,5 x 20 metros</t>
  </si>
  <si>
    <t>Rolo</t>
  </si>
  <si>
    <t>Filtro plano descartável, MODELO BP, classe de filtragem G4 (ABNT NBR 16101), fabricado com elemento filtrante em fibra sintética, moldura de papelão e telas metálicas na entrada e saíde do ar. Temperatura máxima de trabalho: 50ºC. Perda de carga inicial: 70 Pa / Perda de carga final: 250 Pa / Umidade relativa máxima: 80%. Dimensões: 500 X 500 X 50</t>
  </si>
  <si>
    <t>Peça</t>
  </si>
  <si>
    <t>Fita Isolante 19mm x 20m</t>
  </si>
  <si>
    <t>Graxa para uso geral azul</t>
  </si>
  <si>
    <t>Limpa contato</t>
  </si>
  <si>
    <t>Lata 300ml</t>
  </si>
  <si>
    <t>Lixas para metais grão 50 (275 mm x 225 mm)</t>
  </si>
  <si>
    <t>Lixas para metais grão 100 (275 mm x 225 mm)</t>
  </si>
  <si>
    <t>Lixas para metais grão 180 (275 mm x 225 mm)</t>
  </si>
  <si>
    <t>Lixas para metais grão 280 (275 mm x 225 mm)</t>
  </si>
  <si>
    <t>Lixas para metais grão 360 (275 mm x 225 mm)</t>
  </si>
  <si>
    <t>Lixas para metais grão 600 (275 mm x 225 mm)</t>
  </si>
  <si>
    <t>Pano de saco (64cm x 45 cm)</t>
  </si>
  <si>
    <t>Porca regular 3/8</t>
  </si>
  <si>
    <t>Tubo isolante 1/2"</t>
  </si>
  <si>
    <t>Rolo com 2 metros</t>
  </si>
  <si>
    <t>Tubo isolante 1/4"</t>
  </si>
  <si>
    <t xml:space="preserve">Tubo isolante 3/4" </t>
  </si>
  <si>
    <t>Tubo isolante 3/8"</t>
  </si>
  <si>
    <t>Tubo isolante 5/8"</t>
  </si>
  <si>
    <t>Valor unitário</t>
  </si>
  <si>
    <t>Valor anual</t>
  </si>
  <si>
    <t>Bomba de dreno 220v</t>
  </si>
  <si>
    <t>Cano cobre 1/4'' flexivel 1/32</t>
  </si>
  <si>
    <t>Cano cobre 3/8 flexivel x 1/32</t>
  </si>
  <si>
    <t>Cano cobre 5/8 flexivel x 1/32</t>
  </si>
  <si>
    <t>Capacitor 45uf</t>
  </si>
  <si>
    <t>Capacitor 55 + 2,50uf</t>
  </si>
  <si>
    <t>Capacitor 60+2,5uf</t>
  </si>
  <si>
    <t>Controle universal para Aparelho de Ar Condicionado tipo "Split "</t>
  </si>
  <si>
    <t>Correias das caixas de ventilação do sistema VRF (A56 - Perfil "V")</t>
  </si>
  <si>
    <t>Eliminador de gotas Tipo Onda em polipropileno para torre de resfriamento Alpina de 2,1 x 1,7m</t>
  </si>
  <si>
    <t>Enchimento miolo colmeia tipo grade em polipropileno para torre de resfriamento Alpina de 2,1 x 1,7m</t>
  </si>
  <si>
    <t>Gás Nitrogênio</t>
  </si>
  <si>
    <t>Botijão 13,6kg</t>
  </si>
  <si>
    <t>Gás R410</t>
  </si>
  <si>
    <t>Botijão 11 kg</t>
  </si>
  <si>
    <t>Mancais (P210) Ventilador da torre de resfriamento</t>
  </si>
  <si>
    <t>Motor elétrico para bomba de água condensada - Modelo: Compatível com a Central e modelo atualmente instalados, de forma que não haja necessidade de alteração dos demais componentes do sistema para instalação do equipamento. Técnicas; Características: 7.5 cv, Trifásico, 04 pólos, 220V, 380V,440V e 60Hz, RPM 1710, compatível com as medidas da instalação existentes no Sistema de Ar Central Edifício sede</t>
  </si>
  <si>
    <t>Motor elétrico para bomba de água gelada - Modelo: Compatível com a Central e modelo atualmente instalado, de forma que não haja necessidade de alteração dos demais componentes do sistema para instalação do equipamento. Técnicas; Características: 10 cv, Trifásico, 04 pólos, 220V,380V,440V e 60Hz, compatível com as medidas da instalação existentes no Sistema de Ar Central Edifício sede</t>
  </si>
  <si>
    <t>Motor elétrico para bomba de torre de resfriamento - Modelo: Compatível com a Central e modelo atualmente instalados, de forma que não haja necessidade de alteração dos demais componentes do sistema para instalação do equipamento. Técnicas; Características: 5 cv, Trifásico, 04 pólos, 220V,380V,440V e 60Hz, RPM 860, compatível com as medidas da instalação existentes no Sistema de Ar Central Edifício sede</t>
  </si>
  <si>
    <t>Motor elétrico para bomba de ventilação - Modelo: Compatível com a Central e modelo atualmente instalados, de forma que não haja necessidade de alteração dos demais componentes do sistema para instalação do equipamento. Técnicas; Características: 5 cv, Trifásico, 04 pólos, 220V,380V,440V e 60Hz, compatível com as medidas da instalação existentes no Sistema de Ar Central Edifício sede</t>
  </si>
  <si>
    <t>peça</t>
  </si>
  <si>
    <t>Placa auxiliar  de ventilador MCC-896 para VRF(sistema de climatização) da marca Toshiba, compatível com as condensadoras do sistema VRF instalado na unidade do Coren/SP Educação.</t>
  </si>
  <si>
    <t>Rolamentos para motores elétricos 10 CV - similiar ao modelo  630822 - 620722 da marca NSK</t>
  </si>
  <si>
    <t>Rolamentos para motores elétricos 5 CV - similiar ao modelo  630822 - 620722 da marca NSK</t>
  </si>
  <si>
    <t>Rolamentos para motores elétricos 7,5 CV - similiar ao modelo  630822 - 620722 da marca NSK</t>
  </si>
  <si>
    <t>Temporizador de painel elétrico</t>
  </si>
  <si>
    <t>Válvula borboleta para tubulação de água gelada e condensada</t>
  </si>
  <si>
    <t>Unidade de medida</t>
  </si>
  <si>
    <t>Quantidade (em unidades de medida)</t>
  </si>
  <si>
    <t>metro linear</t>
  </si>
  <si>
    <t xml:space="preserve"> </t>
  </si>
  <si>
    <t>ANEXO VII - PLANILHA DE CUSTOS E FORMAÇÃO DE PREÇOS</t>
  </si>
  <si>
    <t>VALOR TOTAL ESTIMADO (30 MESES)</t>
  </si>
  <si>
    <t>Fornecimento de materiais e peças de reposição, para execução dos serviços de manutenção corretiva dos sistemas de climatização</t>
  </si>
  <si>
    <t>Fornecimento de materiais, peças de reposição e outros de caráter imprevisível (RESERVA FIXA)</t>
  </si>
  <si>
    <t>Tratamento químico e a manutenção do sistema de resfriamento de água do sistema de ar condicionado central do Edifício Sede</t>
  </si>
  <si>
    <t>Limpeza de dutos e higienização de instalações do sistema de  ar condicionado central do Edifício Sede</t>
  </si>
  <si>
    <t>UND</t>
  </si>
  <si>
    <t>QUANTIDADE ESTIMADA DE HORAS (30 meses)</t>
  </si>
  <si>
    <t>VALOR TOTAL (30 meses)</t>
  </si>
  <si>
    <t>O BDI PARA ESTA PLANILHA DEVERÁ SER PREENCHIDO NA PLANILHA "BDI MATERIAIS"</t>
  </si>
  <si>
    <t>VALOR TOTAL MENSAL DOS EPI'S</t>
  </si>
  <si>
    <t>VALOR DOS EQUIPAMENTOS POR POSTO</t>
  </si>
  <si>
    <t>SINAPI (Janeiro/2022)</t>
  </si>
  <si>
    <t>SUBITEM</t>
  </si>
  <si>
    <t>1.1</t>
  </si>
  <si>
    <t>2.1</t>
  </si>
  <si>
    <t>2.2</t>
  </si>
  <si>
    <t>3.1</t>
  </si>
  <si>
    <t>3.2</t>
  </si>
  <si>
    <t>4.1</t>
  </si>
  <si>
    <t>4.2</t>
  </si>
  <si>
    <t>VALOR ESTIMADO PARA 30 MESES</t>
  </si>
  <si>
    <t>Valor total para 30 meses</t>
  </si>
  <si>
    <t>Percentual de desconto</t>
  </si>
  <si>
    <t>Subtotal</t>
  </si>
  <si>
    <t>5.1</t>
  </si>
  <si>
    <t>5.2</t>
  </si>
  <si>
    <t>6.1</t>
  </si>
  <si>
    <t>6.2</t>
  </si>
  <si>
    <t>Reserva fixa para 30 meses</t>
  </si>
  <si>
    <t>Valor mensal</t>
  </si>
  <si>
    <t>Preço unitário (metro linear)</t>
  </si>
  <si>
    <t>Capacete de segurança - Classe B</t>
  </si>
  <si>
    <t>Óculos de segurança incolor</t>
  </si>
  <si>
    <t>Protetor auricular tipo plug de silicone</t>
  </si>
  <si>
    <t>Calçado de segurança para eletricista com isolamento elétrico</t>
  </si>
  <si>
    <t>Cinto de segurança do tipo paraquedista (com talabarte)</t>
  </si>
  <si>
    <t>Luvas isolantes para eletricista</t>
  </si>
  <si>
    <t xml:space="preserve">Luva nitrílica </t>
  </si>
  <si>
    <t>Frasco</t>
  </si>
  <si>
    <r>
      <t xml:space="preserve">VALOR </t>
    </r>
    <r>
      <rPr>
        <b/>
        <u/>
        <sz val="11"/>
        <rFont val="Calibri Light"/>
        <family val="2"/>
        <scheme val="major"/>
      </rPr>
      <t>ANUAL</t>
    </r>
    <r>
      <rPr>
        <b/>
        <sz val="11"/>
        <rFont val="Calibri Light"/>
        <family val="2"/>
        <scheme val="major"/>
      </rPr>
      <t xml:space="preserve"> DOS INSUMOS A SEREM UTILIZADOS NA EXECUÇÃO CONTRATUAL </t>
    </r>
  </si>
  <si>
    <r>
      <t xml:space="preserve">VALOR </t>
    </r>
    <r>
      <rPr>
        <u/>
        <sz val="11"/>
        <rFont val="Calibri Light"/>
        <family val="2"/>
        <scheme val="major"/>
      </rPr>
      <t>MENSAL</t>
    </r>
    <r>
      <rPr>
        <sz val="11"/>
        <rFont val="Calibri Light"/>
        <family val="2"/>
        <scheme val="major"/>
      </rPr>
      <t xml:space="preserve"> DOS INSUMOS A SEREM UTILIZADOS NA EXECUÇÃO CONTRATUAL</t>
    </r>
  </si>
  <si>
    <r>
      <t xml:space="preserve">VALOR </t>
    </r>
    <r>
      <rPr>
        <b/>
        <u/>
        <sz val="11"/>
        <rFont val="Calibri Light"/>
        <family val="2"/>
        <scheme val="major"/>
      </rPr>
      <t>MENSAL</t>
    </r>
    <r>
      <rPr>
        <b/>
        <sz val="11"/>
        <rFont val="Calibri Light"/>
        <family val="2"/>
        <scheme val="major"/>
      </rPr>
      <t xml:space="preserve"> DOS INSUMOS POR POSTO</t>
    </r>
  </si>
  <si>
    <t>Quantidade Estimada (12 meses)</t>
  </si>
  <si>
    <t xml:space="preserve">Descrição </t>
  </si>
  <si>
    <t>Correia em V A-104</t>
  </si>
  <si>
    <t>Abracadeira nylon 280x3,5 (pacote com 100 und)</t>
  </si>
  <si>
    <t xml:space="preserve">Pacote  </t>
  </si>
  <si>
    <t>Pacote</t>
  </si>
  <si>
    <t>Arruela lisa 3/8 (pacote com 100 und)</t>
  </si>
  <si>
    <t>Cartucho carga de gas p/ maçarico (refil com 400g)</t>
  </si>
  <si>
    <t>Fita Crepe Rolo 48 mm X 50 m</t>
  </si>
  <si>
    <t>Jogo de brocas para uso em madeira/metal (25 peças)</t>
  </si>
  <si>
    <t xml:space="preserve">Frasco  </t>
  </si>
  <si>
    <t>Lubrificante em spray (280 a 300 g)</t>
  </si>
  <si>
    <t>Cartela</t>
  </si>
  <si>
    <t xml:space="preserve">Pilhas AAA (referências: Duracell ou Panasonic) - Cartela com 4 und </t>
  </si>
  <si>
    <t>Cola para tubos em PVC (frasco 850 gramas)</t>
  </si>
  <si>
    <t>Fita aluminizada/laminanda Rolo 48 mm x 50 m</t>
  </si>
  <si>
    <t>fita autofusão  19 mm x 10 m</t>
  </si>
  <si>
    <t>Quilo</t>
  </si>
  <si>
    <t>Chumbador Parabolt  3/8" comp. 2 1/4"</t>
  </si>
  <si>
    <t>Silicone Acético Transparente para Uso Geral (embalagem com 280 a 300g)</t>
  </si>
  <si>
    <t>Veda rosca Rolo 18 mm x 25 m</t>
  </si>
  <si>
    <t>5.3</t>
  </si>
  <si>
    <t>7.1</t>
  </si>
  <si>
    <t>7.2</t>
  </si>
  <si>
    <t>Anotação de Responsabilidade Técnica - Para emissão de laudos e relatórios</t>
  </si>
  <si>
    <t>3.3</t>
  </si>
  <si>
    <t>Prestação de serviços eventuais de caráter imprevisível</t>
  </si>
  <si>
    <t>Serviços não previstos nos itens 1 e 2 acima, porém necessários à continuidade de funcionamento do sistema de refrigeração e seus componentes</t>
  </si>
  <si>
    <t>8.1</t>
  </si>
  <si>
    <t>8.2</t>
  </si>
  <si>
    <t>PERCENTUAL DE DESCONTO SOBRE ITEM 3.2</t>
  </si>
  <si>
    <t>PERCENTUAL DE DESCONTO SOBRE ITEM 5.2</t>
  </si>
  <si>
    <t xml:space="preserve">Alicate bico curvo </t>
  </si>
  <si>
    <t xml:space="preserve">Alicate bico meia cana </t>
  </si>
  <si>
    <t>Alicate descascador de fios</t>
  </si>
  <si>
    <t>Quantidade Estimada (30 meses)</t>
  </si>
  <si>
    <t>Valor Total 
(30 meses)</t>
  </si>
  <si>
    <t>conjunto (duas peças)</t>
  </si>
  <si>
    <t>VALOR DAS FERRAMENTAS A SEREM UTILIZADAS NA EXECUÇÃO CONTRATUAL (30 MESES)</t>
  </si>
  <si>
    <t>Chave de Grifo 14 polegadas</t>
  </si>
  <si>
    <t>Chave de Grifo 18 polegadas</t>
  </si>
  <si>
    <t>Chave de Grifo 24 polegadas</t>
  </si>
  <si>
    <t>Chave de Grifo 48 polegadas</t>
  </si>
  <si>
    <t>Cortador manual de tubos</t>
  </si>
  <si>
    <t>Conjunto de Solda (Componentes: 2 Cilindros/2 Regulador Pressão/1 Maçarico/Valvula - Capacidade Cilindro: Acetileno (1,25kg), Cilindro De Oxigênio (1 M³) contendo carrinho de transporte e cilindros de oxigênio e acetileno</t>
  </si>
  <si>
    <t>Conjunto Manifold</t>
  </si>
  <si>
    <t>Chave Ajustável</t>
  </si>
  <si>
    <t>Caixa de ferramentas com cadeado</t>
  </si>
  <si>
    <t>Arco de serra</t>
  </si>
  <si>
    <t>Jogo de chave combinada fixa-estrela</t>
  </si>
  <si>
    <t>Jogo de chave de fenda cruzada (tipo phillips) completo</t>
  </si>
  <si>
    <t>Jogo de chave de fenda simples completo</t>
  </si>
  <si>
    <t>Jogo de chave: combinada fixa-estrela + soquete + canhão + catraca (jogo de ferramentas)</t>
  </si>
  <si>
    <t>Jogo de flangeador</t>
  </si>
  <si>
    <t>Lanterna</t>
  </si>
  <si>
    <t>Serra circular</t>
  </si>
  <si>
    <t>Tesoura para cortar chapa</t>
  </si>
  <si>
    <t>Varetas para limpeza de condensador de chiller / centrífuga</t>
  </si>
  <si>
    <t>Saca polia 3 garras  250 x 150 x 200 mm</t>
  </si>
  <si>
    <r>
      <t xml:space="preserve">VALOR </t>
    </r>
    <r>
      <rPr>
        <b/>
        <u/>
        <sz val="11"/>
        <rFont val="Calibri Light"/>
        <family val="2"/>
        <scheme val="major"/>
      </rPr>
      <t>MENSAL</t>
    </r>
    <r>
      <rPr>
        <b/>
        <sz val="11"/>
        <rFont val="Calibri Light"/>
        <family val="2"/>
        <scheme val="major"/>
      </rPr>
      <t xml:space="preserve"> DAS FERRAMENTAS POR FUNCIONÁRIO</t>
    </r>
  </si>
  <si>
    <t>Quantidade Estimada 
(30 meses)</t>
  </si>
  <si>
    <t>Quantidade estimada (30 meses)</t>
  </si>
  <si>
    <t>Multímetro digital com as seguintes características: LCD de 3 ¾ dígitos, congelamento de leitura, deverá realizar medidas de: tensão AC / DC, corrente DC / AC, resistência, testes de diodo e continuidade, medida TRUE RMS</t>
  </si>
  <si>
    <t>Engraxadeira</t>
  </si>
  <si>
    <t>Esmerilhadeira para cortar, desbastar e escovar (serra tipo Makita)</t>
  </si>
  <si>
    <t>Furadeira industrial de impacto mínimo 650 Watts</t>
  </si>
  <si>
    <t>Paquímetro de aço</t>
  </si>
  <si>
    <t>Parafusadeira a bateria</t>
  </si>
  <si>
    <t>Pistola para tubo de silicone 300g</t>
  </si>
  <si>
    <t>Relógio comparador para alinhamento de bombas</t>
  </si>
  <si>
    <t>Termômetro digital com medidor de umidade</t>
  </si>
  <si>
    <t>Termômetro digital sem contato (infravermelho), com mira laser, LCD de 3 ½ dígitos, emissividade fixa em 0,95, campo de visão de 10:1, realiza medidas na faixa de –30ºC a 550ºC</t>
  </si>
  <si>
    <t>Termovisor com Memória digital com capacidade armazenar imagens térmicas, monitor colorido, escala de temperatura (-20 a 1200 ºC), distância de medição (0,5 a 50 metros), medição de temperatura instantânea</t>
  </si>
  <si>
    <t>Vacuômetro</t>
  </si>
  <si>
    <t>Conjunto</t>
  </si>
  <si>
    <t>Radio transceptor (2 aparelhos)</t>
  </si>
  <si>
    <t>UNIFORMES</t>
  </si>
  <si>
    <r>
      <t>Ventilador aspiração standard simples – Vazão de 3200 m</t>
    </r>
    <r>
      <rPr>
        <vertAlign val="superscript"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>/h – Pressão de 30 mca – Motor de 1,5 HP – Sirocco – Marca/ modelo de referência: TORIN – 270-270. Demais medidas deverão ser conferidas "in loco"</t>
    </r>
  </si>
  <si>
    <r>
      <t>Ventilador de aspiração standard duplex – – Vazão de 7200 m</t>
    </r>
    <r>
      <rPr>
        <vertAlign val="superscript"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>/h – Pressão de 35 mca –  Motor de 3 HP – 1725 rpm – Sirocco –  Marca/ modelo de referência: TORIN 381-381. Demais medidas deverão ser conferidas "in loco"</t>
    </r>
  </si>
  <si>
    <r>
      <t>Ventilador de aspiração standard duplex – Vazão de 13000 m</t>
    </r>
    <r>
      <rPr>
        <vertAlign val="superscript"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>/h – Pressão de 60 mca – Motor de 7,5 HP – Sirocco –  Marca/ modelo de referência: TORIN 270-203. Demais medidas deverão ser conferidas "in loco"</t>
    </r>
  </si>
  <si>
    <r>
      <t>Ventilador de aspiração standard duplex – Vazão de 14300 m</t>
    </r>
    <r>
      <rPr>
        <vertAlign val="superscript"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>/h – Pressão de 35 mca – Motor de 4 HP – Sirocco –  Marca/ modelo de referência: TORIN 321-321. Demais medidas deverão ser conferidas "in loco"</t>
    </r>
  </si>
  <si>
    <r>
      <t>Ventilador de aspiração standard duplex – Vazão de 7200 m</t>
    </r>
    <r>
      <rPr>
        <vertAlign val="superscript"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>/h – Pressão de 35 mca – Motor de 3 HP – Sirocco – Marca/ modelo de referência: TORIN – 270-270 . Demais medidas deverão ser conferidas "in loco"</t>
    </r>
  </si>
  <si>
    <t>Quantidade (30 meses)</t>
  </si>
  <si>
    <r>
      <t xml:space="preserve">VALOR </t>
    </r>
    <r>
      <rPr>
        <b/>
        <u/>
        <sz val="11"/>
        <rFont val="Calibri Light"/>
        <family val="2"/>
        <scheme val="major"/>
      </rPr>
      <t>30 MESES</t>
    </r>
    <r>
      <rPr>
        <b/>
        <sz val="11"/>
        <rFont val="Calibri Light"/>
        <family val="2"/>
        <scheme val="major"/>
      </rPr>
      <t xml:space="preserve"> -  SUBTOTAL DOS MATERIAIS A SEREM UTILIZADOS NA EXECUÇÃO CONTRATUAL</t>
    </r>
  </si>
  <si>
    <r>
      <t xml:space="preserve">VALOR </t>
    </r>
    <r>
      <rPr>
        <b/>
        <u/>
        <sz val="11"/>
        <rFont val="Calibri Light"/>
        <family val="2"/>
        <scheme val="major"/>
      </rPr>
      <t>30 MESES</t>
    </r>
    <r>
      <rPr>
        <b/>
        <sz val="11"/>
        <rFont val="Calibri Light"/>
        <family val="2"/>
        <scheme val="major"/>
      </rPr>
      <t xml:space="preserve"> - TOTAL DOS MATERIAIS A SEREM UTILIZADOS NA EXECUÇÃO CONTRATUAL</t>
    </r>
  </si>
  <si>
    <t>Valor total Estimado 
(30 meses)</t>
  </si>
  <si>
    <t>Serviço (Mensal)</t>
  </si>
  <si>
    <t xml:space="preserve">BDI - BENEFÍCIOS E DESPESAS INDIRETAS SOBRE A MÃO DE OBRA NÃO RESIDENTE </t>
  </si>
  <si>
    <t>APLICA-SE AOS SUBITENS 2.1 ; 3.3 ; 6.2 e 8.2 DO QUADRO 'GERAL'</t>
  </si>
  <si>
    <t>APLICA-SE AOS SUBITENS 4.2 E 5.3 DO QUADRO 'GERAL'</t>
  </si>
  <si>
    <r>
      <t xml:space="preserve">VALOR </t>
    </r>
    <r>
      <rPr>
        <u/>
        <sz val="11"/>
        <rFont val="Calibri Light"/>
        <family val="2"/>
        <scheme val="major"/>
      </rPr>
      <t>MENSAL</t>
    </r>
    <r>
      <rPr>
        <sz val="11"/>
        <rFont val="Calibri Light"/>
        <family val="2"/>
        <scheme val="major"/>
      </rPr>
      <t xml:space="preserve"> DAS FERRAMENTAS A SEREM UTILIZADAS NA EXECUÇÃO CONTRATUAL</t>
    </r>
  </si>
  <si>
    <t>Observação: Não há Engenheiro Mecânico na tabela SINAPI, por similaridade a EPC adotou o código 34780 - Engenheiro Civil Pleno.</t>
  </si>
  <si>
    <r>
      <t xml:space="preserve">Prestação de serviços continuados de manutenção preventiva e corretiva de sistemas de refrigeração, </t>
    </r>
    <r>
      <rPr>
        <b/>
        <sz val="11"/>
        <color rgb="FF000000"/>
        <rFont val="Calibri Light"/>
        <family val="2"/>
        <scheme val="major"/>
      </rPr>
      <t>com dedicação exclusiva de mão de obra</t>
    </r>
    <r>
      <rPr>
        <sz val="11"/>
        <color rgb="FF000000"/>
        <rFont val="Calibri Light"/>
        <family val="2"/>
        <scheme val="major"/>
      </rPr>
      <t>, incluindo ferramentas, EPI’s, materiais de baixo custo e demais insumos</t>
    </r>
  </si>
  <si>
    <r>
      <t xml:space="preserve">Prestação de serviços continuados de manutenção preventiva e corretiva de sistemas de refrigeração, </t>
    </r>
    <r>
      <rPr>
        <b/>
        <sz val="11"/>
        <color rgb="FF000000"/>
        <rFont val="Calibri Light"/>
        <family val="2"/>
        <scheme val="major"/>
      </rPr>
      <t>sem dedicação exclusiva de mão de obra</t>
    </r>
    <r>
      <rPr>
        <sz val="11"/>
        <color rgb="FF000000"/>
        <rFont val="Calibri Light"/>
        <family val="2"/>
        <scheme val="major"/>
      </rPr>
      <t>, incluindo ferramentas, EPI’s, materiais de baixo custo e demais insumos</t>
    </r>
  </si>
  <si>
    <t>GRUPO ÚNICO - CATSER 2771 (TODOS OS ITENS)</t>
  </si>
  <si>
    <t>03 emissões de ART 
(Valor unitário R$ 233,94)</t>
  </si>
  <si>
    <t>QUANTIDADE/ QUANTIDADE ESTIMADA</t>
  </si>
  <si>
    <t>FORNECIMENTO DE MÃO DE OBRA SEM DEDICAÇÃO EXCLUSIVA (SOB DEMANDA)</t>
  </si>
  <si>
    <t>MATERIAIS E PEÇAS DE REPOSIÇÃO (SOB DEMANDA)</t>
  </si>
  <si>
    <r>
      <t xml:space="preserve">Peças  em inox para interligação entre ventilador e torre de sistema de ar condicionado central a sede, transformação de quadrado para redondo, nas dimensões de 100 x 75 x 25 cm. </t>
    </r>
    <r>
      <rPr>
        <i/>
        <sz val="11"/>
        <rFont val="Calibri Light"/>
        <family val="2"/>
        <scheme val="major"/>
      </rPr>
      <t>Medidas deverão ser conferidas "in loco" .</t>
    </r>
  </si>
  <si>
    <t>Metro Cúbico</t>
  </si>
  <si>
    <t xml:space="preserve">Gás R 22 </t>
  </si>
  <si>
    <t>SINDRATAR - 2021/2023</t>
  </si>
  <si>
    <t>01 DE MAIO</t>
  </si>
  <si>
    <t>OUTUBRO/2021</t>
  </si>
  <si>
    <t>Percentual de incidência</t>
  </si>
  <si>
    <t>Cláusula Décima Nona</t>
  </si>
  <si>
    <t>Auxílio Creche: Percentual Anual de Incidência - Memória de Cálculo: Quantidade de crianças matriculadas em creches no Estado de SP / divido pela quantidade de mulheres entre 10 e 55 anos vivendo no Estado de SP. A definição da fórmula foi extraída do Caderno de Logística para Serviços de Limpeza, Asseio e Conservação do MPDG.</t>
  </si>
  <si>
    <t>Chave de Grifo 12 polegadas</t>
  </si>
  <si>
    <t>Quantidade de limpezas/intervenções (30 meses)</t>
  </si>
  <si>
    <t>02 intervenções/limpezas</t>
  </si>
  <si>
    <t>Torno de bancada nº 3</t>
  </si>
  <si>
    <t>Torno de bancada nº 4</t>
  </si>
  <si>
    <t>Torno de bancada nº 5</t>
  </si>
  <si>
    <t>PREGÃO ELETRÔNICO Nº 12/2021 - PROCESSO ADMINISTRATIVO Nº 10665/2021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</si>
</sst>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 &quot;#,##0.00"/>
    <numFmt numFmtId="166" formatCode="0.000%"/>
    <numFmt numFmtId="167" formatCode="&quot;R$ &quot;#,##0.00;[Red]&quot;-R$ &quot;#,##0.00"/>
    <numFmt numFmtId="168" formatCode="&quot;R$&quot;#,##0.00"/>
    <numFmt numFmtId="169" formatCode="0.0000%"/>
    <numFmt numFmtId="170" formatCode="&quot;R$&quot;\ #,##0.00"/>
    <numFmt numFmtId="171" formatCode="0.000"/>
    <numFmt numFmtId="172" formatCode="0.0000"/>
    <numFmt numFmtId="173" formatCode="&quot; R$ &quot;#,##0.00\ ;&quot; R$ (&quot;#,##0.00\);&quot; R$ -&quot;#\ ;@\ "/>
    <numFmt numFmtId="174" formatCode="#,##0.0000000000_ ;\-#,##0.0000000000\ "/>
    <numFmt numFmtId="175" formatCode="0.0000000000"/>
    <numFmt numFmtId="176" formatCode="_-&quot;R$&quot;\ * #,##0.0000_-;\-&quot;R$&quot;\ * #,##0.0000_-;_-&quot;R$&quot;\ * &quot;-&quot;??_-;_-@_-"/>
    <numFmt numFmtId="177" formatCode="0.00000E+00"/>
    <numFmt numFmtId="178" formatCode="_(* #,##0.00_);_(* \(#,##0.00\);_(* \-??_);_(@_)"/>
    <numFmt numFmtId="179" formatCode="#,##0_ ;\-#,##0\ "/>
  </numFmts>
  <fonts count="5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b/>
      <sz val="10"/>
      <color indexed="8"/>
      <name val="Calibri Light"/>
      <family val="2"/>
    </font>
    <font>
      <sz val="9"/>
      <color indexed="81"/>
      <name val="Segoe UI"/>
      <family val="2"/>
    </font>
    <font>
      <b/>
      <sz val="10"/>
      <name val="Calibri Light"/>
      <family val="2"/>
    </font>
    <font>
      <b/>
      <u/>
      <sz val="10"/>
      <name val="Calibri Light"/>
      <family val="2"/>
    </font>
    <font>
      <b/>
      <sz val="11"/>
      <color indexed="8"/>
      <name val="Calibri"/>
      <family val="2"/>
    </font>
    <font>
      <sz val="10"/>
      <name val="Calibri Light"/>
      <family val="2"/>
    </font>
    <font>
      <b/>
      <sz val="10"/>
      <color indexed="10"/>
      <name val="Calibri Light"/>
      <family val="2"/>
    </font>
    <font>
      <b/>
      <u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indexed="8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indexed="8"/>
      <name val="Calibri Light"/>
      <family val="2"/>
      <scheme val="major"/>
    </font>
    <font>
      <b/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sz val="1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9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b/>
      <sz val="11"/>
      <color indexed="8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u/>
      <sz val="11"/>
      <name val="Calibri Light"/>
      <family val="2"/>
      <scheme val="major"/>
    </font>
    <font>
      <u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vertAlign val="superscript"/>
      <sz val="11"/>
      <color theme="1"/>
      <name val="Calibri Light"/>
      <family val="2"/>
      <scheme val="major"/>
    </font>
    <font>
      <i/>
      <sz val="11"/>
      <color indexed="8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i/>
      <sz val="11"/>
      <name val="Calibri Light"/>
      <family val="2"/>
      <scheme val="major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31"/>
      </patternFill>
    </fill>
    <fill>
      <patternFill patternType="solid">
        <fgColor indexed="31"/>
        <bgColor indexed="42"/>
      </patternFill>
    </fill>
    <fill>
      <patternFill patternType="solid">
        <fgColor indexed="12"/>
        <bgColor indexed="39"/>
      </patternFill>
    </fill>
    <fill>
      <patternFill patternType="solid">
        <fgColor indexed="23"/>
        <bgColor indexed="19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9" tint="0.59999389629810485"/>
        <bgColor indexed="42"/>
      </patternFill>
    </fill>
    <fill>
      <patternFill patternType="solid">
        <fgColor theme="0"/>
        <bgColor indexed="31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59999389629810485"/>
        <bgColor indexed="4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7D7D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42"/>
      </patternFill>
    </fill>
    <fill>
      <patternFill patternType="solid">
        <fgColor theme="0"/>
        <bgColor indexed="42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">
    <xf numFmtId="0" fontId="0" fillId="0" borderId="0"/>
    <xf numFmtId="44" fontId="5" fillId="0" borderId="0" applyFill="0" applyBorder="0" applyAlignment="0" applyProtection="0"/>
    <xf numFmtId="164" fontId="20" fillId="0" borderId="0" applyFont="0" applyFill="0" applyBorder="0" applyAlignment="0" applyProtection="0"/>
    <xf numFmtId="0" fontId="21" fillId="0" borderId="0"/>
    <xf numFmtId="0" fontId="22" fillId="0" borderId="0"/>
    <xf numFmtId="0" fontId="20" fillId="0" borderId="0"/>
    <xf numFmtId="9" fontId="5" fillId="0" borderId="0" applyFill="0" applyBorder="0" applyAlignment="0" applyProtection="0"/>
    <xf numFmtId="9" fontId="22" fillId="0" borderId="0" applyBorder="0" applyProtection="0"/>
    <xf numFmtId="173" fontId="22" fillId="0" borderId="0" applyBorder="0" applyProtection="0"/>
    <xf numFmtId="0" fontId="4" fillId="0" borderId="0"/>
    <xf numFmtId="164" fontId="4" fillId="0" borderId="0" applyFont="0" applyFill="0" applyBorder="0" applyAlignment="0" applyProtection="0"/>
    <xf numFmtId="178" fontId="15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4" fontId="5" fillId="0" borderId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78" fontId="5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78" fontId="5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8">
    <xf numFmtId="0" fontId="0" fillId="0" borderId="0" xfId="0"/>
    <xf numFmtId="0" fontId="23" fillId="0" borderId="0" xfId="0" applyFont="1"/>
    <xf numFmtId="0" fontId="23" fillId="2" borderId="0" xfId="0" applyFont="1" applyFill="1"/>
    <xf numFmtId="0" fontId="23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3" fillId="9" borderId="0" xfId="0" applyFont="1" applyFill="1"/>
    <xf numFmtId="0" fontId="24" fillId="9" borderId="0" xfId="0" applyFont="1" applyFill="1"/>
    <xf numFmtId="14" fontId="25" fillId="3" borderId="1" xfId="0" applyNumberFormat="1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 wrapText="1"/>
    </xf>
    <xf numFmtId="165" fontId="26" fillId="4" borderId="1" xfId="0" applyNumberFormat="1" applyFont="1" applyFill="1" applyBorder="1" applyAlignment="1">
      <alignment horizontal="center" vertical="center"/>
    </xf>
    <xf numFmtId="165" fontId="26" fillId="5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167" fontId="26" fillId="4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10" borderId="1" xfId="0" applyNumberFormat="1" applyFont="1" applyFill="1" applyBorder="1" applyAlignment="1">
      <alignment horizontal="center" vertical="center"/>
    </xf>
    <xf numFmtId="165" fontId="27" fillId="6" borderId="1" xfId="0" applyNumberFormat="1" applyFont="1" applyFill="1" applyBorder="1" applyAlignment="1">
      <alignment horizontal="center" vertical="center"/>
    </xf>
    <xf numFmtId="14" fontId="25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9" fillId="0" borderId="0" xfId="0" applyFont="1" applyFill="1"/>
    <xf numFmtId="171" fontId="30" fillId="12" borderId="2" xfId="0" applyNumberFormat="1" applyFont="1" applyFill="1" applyBorder="1" applyAlignment="1">
      <alignment vertical="center"/>
    </xf>
    <xf numFmtId="171" fontId="30" fillId="12" borderId="3" xfId="0" applyNumberFormat="1" applyFont="1" applyFill="1" applyBorder="1" applyAlignment="1">
      <alignment vertical="center"/>
    </xf>
    <xf numFmtId="171" fontId="30" fillId="12" borderId="4" xfId="0" applyNumberFormat="1" applyFont="1" applyFill="1" applyBorder="1" applyAlignment="1">
      <alignment vertical="center"/>
    </xf>
    <xf numFmtId="172" fontId="29" fillId="0" borderId="0" xfId="0" applyNumberFormat="1" applyFont="1" applyFill="1"/>
    <xf numFmtId="0" fontId="31" fillId="0" borderId="5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29" fillId="0" borderId="0" xfId="0" applyFont="1" applyFill="1" applyBorder="1"/>
    <xf numFmtId="4" fontId="29" fillId="0" borderId="0" xfId="0" applyNumberFormat="1" applyFont="1" applyFill="1"/>
    <xf numFmtId="10" fontId="30" fillId="0" borderId="0" xfId="0" applyNumberFormat="1" applyFont="1" applyFill="1"/>
    <xf numFmtId="0" fontId="25" fillId="0" borderId="1" xfId="0" applyFont="1" applyBorder="1" applyAlignment="1">
      <alignment horizontal="center" vertical="center"/>
    </xf>
    <xf numFmtId="168" fontId="25" fillId="3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0" fontId="25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7" fillId="6" borderId="1" xfId="0" applyFont="1" applyFill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 vertical="center"/>
    </xf>
    <xf numFmtId="165" fontId="32" fillId="3" borderId="1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0" fillId="0" borderId="6" xfId="0" applyBorder="1"/>
    <xf numFmtId="0" fontId="0" fillId="0" borderId="0" xfId="0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170" fontId="0" fillId="0" borderId="6" xfId="0" applyNumberFormat="1" applyBorder="1" applyAlignment="1">
      <alignment horizontal="center"/>
    </xf>
    <xf numFmtId="44" fontId="15" fillId="0" borderId="6" xfId="1" applyFont="1" applyBorder="1" applyAlignment="1">
      <alignment horizontal="center"/>
    </xf>
    <xf numFmtId="0" fontId="0" fillId="0" borderId="6" xfId="0" applyBorder="1" applyAlignment="1">
      <alignment horizontal="center"/>
    </xf>
    <xf numFmtId="44" fontId="16" fillId="0" borderId="6" xfId="1" applyFont="1" applyBorder="1" applyAlignment="1">
      <alignment horizontal="center"/>
    </xf>
    <xf numFmtId="44" fontId="16" fillId="0" borderId="6" xfId="1" applyFont="1" applyBorder="1"/>
    <xf numFmtId="4" fontId="0" fillId="0" borderId="6" xfId="0" applyNumberFormat="1" applyBorder="1" applyAlignment="1">
      <alignment horizontal="center"/>
    </xf>
    <xf numFmtId="44" fontId="11" fillId="0" borderId="6" xfId="0" applyNumberFormat="1" applyFont="1" applyBorder="1"/>
    <xf numFmtId="0" fontId="11" fillId="9" borderId="6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10" fontId="25" fillId="0" borderId="1" xfId="0" applyNumberFormat="1" applyFont="1" applyFill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44" fontId="5" fillId="0" borderId="6" xfId="1" applyBorder="1" applyAlignment="1">
      <alignment horizontal="center" vertical="center"/>
    </xf>
    <xf numFmtId="0" fontId="11" fillId="0" borderId="4" xfId="0" applyFont="1" applyBorder="1"/>
    <xf numFmtId="44" fontId="11" fillId="0" borderId="4" xfId="0" applyNumberFormat="1" applyFont="1" applyBorder="1"/>
    <xf numFmtId="0" fontId="11" fillId="9" borderId="8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1" fontId="33" fillId="3" borderId="1" xfId="0" applyNumberFormat="1" applyFont="1" applyFill="1" applyBorder="1" applyAlignment="1">
      <alignment horizontal="center" vertical="center"/>
    </xf>
    <xf numFmtId="0" fontId="29" fillId="9" borderId="0" xfId="0" applyFont="1" applyFill="1"/>
    <xf numFmtId="0" fontId="14" fillId="0" borderId="0" xfId="0" applyFont="1" applyAlignment="1">
      <alignment horizontal="center"/>
    </xf>
    <xf numFmtId="0" fontId="11" fillId="0" borderId="9" xfId="0" applyFont="1" applyBorder="1" applyAlignment="1">
      <alignment horizontal="left"/>
    </xf>
    <xf numFmtId="0" fontId="0" fillId="9" borderId="6" xfId="0" applyNumberFormat="1" applyFill="1" applyBorder="1" applyAlignment="1">
      <alignment horizontal="center"/>
    </xf>
    <xf numFmtId="4" fontId="11" fillId="0" borderId="7" xfId="0" applyNumberFormat="1" applyFont="1" applyBorder="1" applyAlignment="1">
      <alignment horizontal="center"/>
    </xf>
    <xf numFmtId="168" fontId="25" fillId="3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165" fontId="25" fillId="0" borderId="1" xfId="0" applyNumberFormat="1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10" fontId="25" fillId="3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10" fontId="25" fillId="0" borderId="1" xfId="0" applyNumberFormat="1" applyFont="1" applyFill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/>
    </xf>
    <xf numFmtId="3" fontId="0" fillId="9" borderId="6" xfId="0" applyNumberFormat="1" applyFill="1" applyBorder="1" applyAlignment="1">
      <alignment horizontal="center"/>
    </xf>
    <xf numFmtId="175" fontId="15" fillId="9" borderId="6" xfId="1" applyNumberFormat="1" applyFont="1" applyFill="1" applyBorder="1" applyAlignment="1">
      <alignment horizontal="center"/>
    </xf>
    <xf numFmtId="177" fontId="0" fillId="0" borderId="6" xfId="0" applyNumberFormat="1" applyBorder="1"/>
    <xf numFmtId="170" fontId="34" fillId="0" borderId="6" xfId="1" applyNumberFormat="1" applyFont="1" applyBorder="1" applyAlignment="1">
      <alignment horizontal="center"/>
    </xf>
    <xf numFmtId="176" fontId="15" fillId="0" borderId="6" xfId="1" applyNumberFormat="1" applyFont="1" applyBorder="1"/>
    <xf numFmtId="0" fontId="0" fillId="9" borderId="6" xfId="0" applyFill="1" applyBorder="1" applyAlignment="1">
      <alignment horizontal="left"/>
    </xf>
    <xf numFmtId="174" fontId="15" fillId="9" borderId="6" xfId="1" applyNumberFormat="1" applyFont="1" applyFill="1" applyBorder="1" applyAlignment="1">
      <alignment horizontal="center"/>
    </xf>
    <xf numFmtId="44" fontId="15" fillId="0" borderId="6" xfId="1" applyFont="1" applyBorder="1"/>
    <xf numFmtId="0" fontId="11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4" fontId="0" fillId="0" borderId="6" xfId="0" applyNumberFormat="1" applyBorder="1" applyAlignment="1">
      <alignment vertical="center"/>
    </xf>
    <xf numFmtId="0" fontId="35" fillId="0" borderId="0" xfId="0" applyFont="1"/>
    <xf numFmtId="0" fontId="36" fillId="0" borderId="0" xfId="0" applyFont="1"/>
    <xf numFmtId="0" fontId="23" fillId="0" borderId="0" xfId="0" applyFont="1" applyProtection="1"/>
    <xf numFmtId="0" fontId="29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172" fontId="29" fillId="0" borderId="0" xfId="0" applyNumberFormat="1" applyFont="1" applyFill="1" applyProtection="1"/>
    <xf numFmtId="0" fontId="23" fillId="2" borderId="0" xfId="0" applyFont="1" applyFill="1" applyProtection="1"/>
    <xf numFmtId="0" fontId="29" fillId="9" borderId="0" xfId="0" applyFont="1" applyFill="1" applyProtection="1"/>
    <xf numFmtId="0" fontId="23" fillId="9" borderId="0" xfId="0" applyFont="1" applyFill="1" applyProtection="1"/>
    <xf numFmtId="4" fontId="29" fillId="0" borderId="0" xfId="0" applyNumberFormat="1" applyFont="1" applyFill="1" applyProtection="1"/>
    <xf numFmtId="10" fontId="30" fillId="0" borderId="0" xfId="0" applyNumberFormat="1" applyFont="1" applyFill="1" applyProtection="1"/>
    <xf numFmtId="0" fontId="23" fillId="0" borderId="0" xfId="0" applyFont="1" applyAlignment="1" applyProtection="1">
      <alignment horizontal="center"/>
    </xf>
    <xf numFmtId="171" fontId="30" fillId="9" borderId="2" xfId="0" applyNumberFormat="1" applyFont="1" applyFill="1" applyBorder="1" applyAlignment="1" applyProtection="1">
      <alignment vertical="center"/>
    </xf>
    <xf numFmtId="171" fontId="30" fillId="9" borderId="3" xfId="0" applyNumberFormat="1" applyFont="1" applyFill="1" applyBorder="1" applyAlignment="1" applyProtection="1">
      <alignment vertical="center"/>
    </xf>
    <xf numFmtId="171" fontId="30" fillId="9" borderId="25" xfId="0" applyNumberFormat="1" applyFont="1" applyFill="1" applyBorder="1" applyAlignment="1" applyProtection="1">
      <alignment vertical="center"/>
    </xf>
    <xf numFmtId="171" fontId="30" fillId="9" borderId="16" xfId="0" applyNumberFormat="1" applyFont="1" applyFill="1" applyBorder="1" applyAlignment="1" applyProtection="1">
      <alignment vertical="center"/>
    </xf>
    <xf numFmtId="171" fontId="30" fillId="9" borderId="8" xfId="0" applyNumberFormat="1" applyFont="1" applyFill="1" applyBorder="1" applyAlignment="1" applyProtection="1">
      <alignment vertical="center"/>
    </xf>
    <xf numFmtId="171" fontId="30" fillId="9" borderId="17" xfId="0" applyNumberFormat="1" applyFont="1" applyFill="1" applyBorder="1" applyAlignment="1" applyProtection="1">
      <alignment vertical="center"/>
    </xf>
    <xf numFmtId="165" fontId="24" fillId="0" borderId="0" xfId="0" applyNumberFormat="1" applyFont="1" applyFill="1" applyProtection="1"/>
    <xf numFmtId="0" fontId="24" fillId="0" borderId="0" xfId="0" applyFont="1" applyFill="1" applyProtection="1"/>
    <xf numFmtId="165" fontId="28" fillId="13" borderId="6" xfId="0" applyNumberFormat="1" applyFont="1" applyFill="1" applyBorder="1" applyAlignment="1" applyProtection="1">
      <alignment horizontal="center" vertical="center" wrapText="1"/>
    </xf>
    <xf numFmtId="1" fontId="25" fillId="13" borderId="6" xfId="0" applyNumberFormat="1" applyFont="1" applyFill="1" applyBorder="1" applyAlignment="1" applyProtection="1">
      <alignment horizontal="center" vertical="center"/>
    </xf>
    <xf numFmtId="1" fontId="25" fillId="13" borderId="6" xfId="0" applyNumberFormat="1" applyFont="1" applyFill="1" applyBorder="1" applyAlignment="1" applyProtection="1">
      <alignment horizontal="center" vertical="center" wrapText="1"/>
    </xf>
    <xf numFmtId="0" fontId="25" fillId="13" borderId="6" xfId="0" applyFont="1" applyFill="1" applyBorder="1" applyAlignment="1" applyProtection="1">
      <alignment horizontal="center" vertical="center"/>
    </xf>
    <xf numFmtId="165" fontId="26" fillId="4" borderId="6" xfId="0" applyNumberFormat="1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 applyProtection="1">
      <alignment horizontal="center" vertical="center"/>
    </xf>
    <xf numFmtId="165" fontId="26" fillId="5" borderId="6" xfId="0" applyNumberFormat="1" applyFont="1" applyFill="1" applyBorder="1" applyAlignment="1" applyProtection="1">
      <alignment horizontal="center" vertical="center"/>
    </xf>
    <xf numFmtId="0" fontId="26" fillId="11" borderId="6" xfId="0" applyFont="1" applyFill="1" applyBorder="1" applyAlignment="1" applyProtection="1">
      <alignment horizontal="center" vertical="center"/>
    </xf>
    <xf numFmtId="167" fontId="26" fillId="4" borderId="6" xfId="0" applyNumberFormat="1" applyFont="1" applyFill="1" applyBorder="1" applyAlignment="1" applyProtection="1">
      <alignment horizontal="center" vertical="center"/>
    </xf>
    <xf numFmtId="49" fontId="25" fillId="0" borderId="6" xfId="0" applyNumberFormat="1" applyFont="1" applyBorder="1" applyAlignment="1" applyProtection="1">
      <alignment horizontal="center" vertical="center"/>
    </xf>
    <xf numFmtId="165" fontId="25" fillId="10" borderId="6" xfId="0" applyNumberFormat="1" applyFont="1" applyFill="1" applyBorder="1" applyAlignment="1" applyProtection="1">
      <alignment horizontal="center" vertical="center"/>
    </xf>
    <xf numFmtId="165" fontId="27" fillId="6" borderId="6" xfId="0" applyNumberFormat="1" applyFont="1" applyFill="1" applyBorder="1" applyAlignment="1" applyProtection="1">
      <alignment horizontal="center" vertical="center"/>
    </xf>
    <xf numFmtId="165" fontId="25" fillId="13" borderId="6" xfId="0" applyNumberFormat="1" applyFont="1" applyFill="1" applyBorder="1" applyAlignment="1" applyProtection="1">
      <alignment horizontal="center" vertical="center" wrapText="1"/>
    </xf>
    <xf numFmtId="165" fontId="26" fillId="15" borderId="6" xfId="0" applyNumberFormat="1" applyFont="1" applyFill="1" applyBorder="1" applyAlignment="1" applyProtection="1">
      <alignment horizontal="center" vertical="center"/>
    </xf>
    <xf numFmtId="165" fontId="26" fillId="0" borderId="6" xfId="0" applyNumberFormat="1" applyFont="1" applyBorder="1" applyAlignment="1" applyProtection="1">
      <alignment horizontal="center" vertical="center"/>
    </xf>
    <xf numFmtId="165" fontId="26" fillId="24" borderId="6" xfId="0" applyNumberFormat="1" applyFont="1" applyFill="1" applyBorder="1" applyAlignment="1" applyProtection="1">
      <alignment horizontal="center" vertical="center"/>
    </xf>
    <xf numFmtId="0" fontId="26" fillId="5" borderId="6" xfId="0" applyFont="1" applyFill="1" applyBorder="1" applyAlignment="1" applyProtection="1">
      <alignment horizontal="center" vertical="center" wrapText="1"/>
    </xf>
    <xf numFmtId="172" fontId="25" fillId="0" borderId="6" xfId="0" applyNumberFormat="1" applyFont="1" applyBorder="1" applyAlignment="1" applyProtection="1">
      <alignment horizontal="center" vertical="center"/>
    </xf>
    <xf numFmtId="1" fontId="26" fillId="0" borderId="6" xfId="0" applyNumberFormat="1" applyFont="1" applyBorder="1" applyAlignment="1" applyProtection="1">
      <alignment horizontal="center" vertical="center"/>
    </xf>
    <xf numFmtId="165" fontId="26" fillId="9" borderId="6" xfId="0" applyNumberFormat="1" applyFont="1" applyFill="1" applyBorder="1" applyAlignment="1" applyProtection="1">
      <alignment horizontal="center" vertical="center"/>
    </xf>
    <xf numFmtId="0" fontId="25" fillId="27" borderId="6" xfId="0" applyFont="1" applyFill="1" applyBorder="1" applyAlignment="1" applyProtection="1">
      <alignment horizontal="center" vertical="center" wrapText="1"/>
      <protection locked="0"/>
    </xf>
    <xf numFmtId="49" fontId="25" fillId="27" borderId="6" xfId="0" applyNumberFormat="1" applyFont="1" applyFill="1" applyBorder="1" applyAlignment="1" applyProtection="1">
      <alignment horizontal="center" vertical="center" wrapText="1"/>
      <protection locked="0"/>
    </xf>
    <xf numFmtId="14" fontId="25" fillId="27" borderId="6" xfId="0" applyNumberFormat="1" applyFont="1" applyFill="1" applyBorder="1" applyAlignment="1" applyProtection="1">
      <alignment horizontal="center" vertical="center"/>
      <protection locked="0"/>
    </xf>
    <xf numFmtId="1" fontId="33" fillId="27" borderId="6" xfId="0" applyNumberFormat="1" applyFont="1" applyFill="1" applyBorder="1" applyAlignment="1" applyProtection="1">
      <alignment horizontal="center" vertical="center"/>
      <protection locked="0"/>
    </xf>
    <xf numFmtId="172" fontId="25" fillId="28" borderId="6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/>
    </xf>
    <xf numFmtId="0" fontId="29" fillId="0" borderId="6" xfId="0" applyFont="1" applyBorder="1" applyAlignment="1" applyProtection="1">
      <alignment horizontal="left" vertical="center" wrapText="1"/>
    </xf>
    <xf numFmtId="44" fontId="29" fillId="12" borderId="6" xfId="1" applyFont="1" applyFill="1" applyBorder="1" applyAlignment="1" applyProtection="1">
      <alignment vertical="center"/>
      <protection locked="0"/>
    </xf>
    <xf numFmtId="179" fontId="29" fillId="9" borderId="6" xfId="1" applyNumberFormat="1" applyFont="1" applyFill="1" applyBorder="1" applyAlignment="1" applyProtection="1">
      <alignment horizontal="center" vertical="center"/>
    </xf>
    <xf numFmtId="44" fontId="29" fillId="0" borderId="6" xfId="1" applyFont="1" applyBorder="1" applyAlignment="1" applyProtection="1">
      <alignment vertical="center"/>
    </xf>
    <xf numFmtId="179" fontId="29" fillId="0" borderId="6" xfId="1" applyNumberFormat="1" applyFont="1" applyFill="1" applyBorder="1" applyAlignment="1" applyProtection="1">
      <alignment horizontal="center" vertical="center"/>
    </xf>
    <xf numFmtId="44" fontId="30" fillId="26" borderId="6" xfId="0" applyNumberFormat="1" applyFont="1" applyFill="1" applyBorder="1" applyProtection="1"/>
    <xf numFmtId="0" fontId="29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wrapText="1"/>
    </xf>
    <xf numFmtId="0" fontId="29" fillId="0" borderId="0" xfId="0" applyFont="1" applyProtection="1"/>
    <xf numFmtId="0" fontId="29" fillId="0" borderId="0" xfId="0" applyFont="1" applyAlignment="1" applyProtection="1">
      <alignment horizontal="left" vertical="center"/>
    </xf>
    <xf numFmtId="44" fontId="23" fillId="0" borderId="0" xfId="0" applyNumberFormat="1" applyFont="1" applyProtection="1"/>
    <xf numFmtId="44" fontId="29" fillId="0" borderId="6" xfId="1" applyFont="1" applyBorder="1" applyAlignment="1" applyProtection="1">
      <alignment horizontal="center"/>
    </xf>
    <xf numFmtId="44" fontId="30" fillId="26" borderId="6" xfId="1" applyNumberFormat="1" applyFont="1" applyFill="1" applyBorder="1" applyProtection="1"/>
    <xf numFmtId="0" fontId="44" fillId="0" borderId="6" xfId="0" applyFont="1" applyBorder="1" applyAlignment="1">
      <alignment horizontal="center" vertical="center" wrapText="1"/>
    </xf>
    <xf numFmtId="44" fontId="23" fillId="0" borderId="6" xfId="0" applyNumberFormat="1" applyFont="1" applyBorder="1" applyProtection="1"/>
    <xf numFmtId="44" fontId="23" fillId="0" borderId="6" xfId="0" applyNumberFormat="1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44" fontId="23" fillId="0" borderId="6" xfId="0" applyNumberFormat="1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44" fontId="43" fillId="26" borderId="6" xfId="0" applyNumberFormat="1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44" fontId="30" fillId="0" borderId="0" xfId="0" applyNumberFormat="1" applyFont="1" applyBorder="1" applyAlignment="1" applyProtection="1">
      <alignment horizontal="center" vertical="center"/>
    </xf>
    <xf numFmtId="44" fontId="30" fillId="0" borderId="6" xfId="0" applyNumberFormat="1" applyFont="1" applyBorder="1" applyProtection="1"/>
    <xf numFmtId="44" fontId="29" fillId="0" borderId="6" xfId="0" applyNumberFormat="1" applyFont="1" applyBorder="1" applyProtection="1"/>
    <xf numFmtId="179" fontId="29" fillId="0" borderId="6" xfId="0" applyNumberFormat="1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 vertical="center" wrapText="1"/>
    </xf>
    <xf numFmtId="44" fontId="29" fillId="0" borderId="0" xfId="0" applyNumberFormat="1" applyFont="1" applyBorder="1" applyProtection="1"/>
    <xf numFmtId="44" fontId="28" fillId="26" borderId="6" xfId="1" applyFont="1" applyFill="1" applyBorder="1" applyAlignment="1" applyProtection="1">
      <alignment horizontal="center" vertical="center" wrapText="1"/>
    </xf>
    <xf numFmtId="0" fontId="48" fillId="26" borderId="6" xfId="0" applyFont="1" applyFill="1" applyBorder="1" applyAlignment="1" applyProtection="1">
      <alignment horizontal="center" vertical="center"/>
    </xf>
    <xf numFmtId="0" fontId="48" fillId="26" borderId="6" xfId="0" applyFont="1" applyFill="1" applyBorder="1" applyAlignment="1" applyProtection="1">
      <alignment horizontal="center" vertical="center" wrapText="1"/>
    </xf>
    <xf numFmtId="0" fontId="48" fillId="26" borderId="2" xfId="0" applyFont="1" applyFill="1" applyBorder="1" applyAlignment="1" applyProtection="1">
      <alignment horizontal="center" vertical="center" wrapText="1"/>
    </xf>
    <xf numFmtId="170" fontId="48" fillId="26" borderId="6" xfId="0" applyNumberFormat="1" applyFont="1" applyFill="1" applyBorder="1" applyAlignment="1" applyProtection="1">
      <alignment horizontal="center" vertical="center" wrapText="1"/>
    </xf>
    <xf numFmtId="0" fontId="45" fillId="0" borderId="6" xfId="0" applyFont="1" applyFill="1" applyBorder="1" applyAlignment="1" applyProtection="1">
      <alignment horizontal="center" vertical="center" wrapText="1"/>
    </xf>
    <xf numFmtId="0" fontId="45" fillId="0" borderId="2" xfId="0" applyFont="1" applyBorder="1" applyAlignment="1" applyProtection="1">
      <alignment horizontal="center" vertical="center" wrapText="1"/>
    </xf>
    <xf numFmtId="170" fontId="23" fillId="9" borderId="6" xfId="1" applyNumberFormat="1" applyFont="1" applyFill="1" applyBorder="1" applyAlignment="1" applyProtection="1">
      <alignment horizontal="center" vertical="center"/>
    </xf>
    <xf numFmtId="0" fontId="45" fillId="0" borderId="6" xfId="0" applyFont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/>
    </xf>
    <xf numFmtId="0" fontId="45" fillId="0" borderId="2" xfId="0" applyFont="1" applyFill="1" applyBorder="1" applyAlignment="1" applyProtection="1">
      <alignment horizontal="center" vertical="center" wrapText="1"/>
    </xf>
    <xf numFmtId="170" fontId="23" fillId="0" borderId="6" xfId="1" applyNumberFormat="1" applyFont="1" applyFill="1" applyBorder="1" applyAlignment="1" applyProtection="1">
      <alignment horizontal="center" vertical="center"/>
    </xf>
    <xf numFmtId="170" fontId="43" fillId="0" borderId="6" xfId="0" applyNumberFormat="1" applyFont="1" applyBorder="1" applyAlignment="1" applyProtection="1">
      <alignment horizontal="center" vertical="center"/>
    </xf>
    <xf numFmtId="170" fontId="29" fillId="0" borderId="6" xfId="0" applyNumberFormat="1" applyFont="1" applyBorder="1" applyAlignment="1" applyProtection="1">
      <alignment horizontal="center" vertical="center"/>
    </xf>
    <xf numFmtId="1" fontId="29" fillId="0" borderId="6" xfId="0" applyNumberFormat="1" applyFont="1" applyBorder="1" applyAlignment="1" applyProtection="1">
      <alignment horizontal="center" vertical="center"/>
    </xf>
    <xf numFmtId="170" fontId="30" fillId="26" borderId="6" xfId="0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 wrapText="1"/>
    </xf>
    <xf numFmtId="170" fontId="25" fillId="0" borderId="0" xfId="0" applyNumberFormat="1" applyFont="1" applyBorder="1" applyAlignment="1" applyProtection="1">
      <alignment horizontal="center" vertical="center"/>
    </xf>
    <xf numFmtId="170" fontId="23" fillId="0" borderId="0" xfId="0" applyNumberFormat="1" applyFont="1" applyAlignment="1" applyProtection="1">
      <alignment horizontal="center" vertical="center"/>
    </xf>
    <xf numFmtId="0" fontId="45" fillId="0" borderId="24" xfId="0" applyFont="1" applyFill="1" applyBorder="1" applyAlignment="1" applyProtection="1">
      <alignment horizontal="center" vertical="center"/>
    </xf>
    <xf numFmtId="44" fontId="23" fillId="9" borderId="24" xfId="1" applyFont="1" applyFill="1" applyBorder="1" applyAlignment="1" applyProtection="1">
      <alignment horizontal="center" vertical="center"/>
    </xf>
    <xf numFmtId="44" fontId="23" fillId="9" borderId="24" xfId="1" applyNumberFormat="1" applyFont="1" applyFill="1" applyBorder="1" applyAlignment="1" applyProtection="1">
      <alignment horizontal="center" vertical="center"/>
    </xf>
    <xf numFmtId="0" fontId="45" fillId="0" borderId="6" xfId="0" applyFont="1" applyFill="1" applyBorder="1" applyAlignment="1" applyProtection="1">
      <alignment horizontal="center" vertical="center"/>
    </xf>
    <xf numFmtId="44" fontId="43" fillId="0" borderId="6" xfId="0" applyNumberFormat="1" applyFont="1" applyBorder="1" applyProtection="1"/>
    <xf numFmtId="44" fontId="29" fillId="12" borderId="6" xfId="1" applyFont="1" applyFill="1" applyBorder="1" applyAlignment="1" applyProtection="1">
      <alignment horizontal="center" vertical="center"/>
      <protection locked="0"/>
    </xf>
    <xf numFmtId="44" fontId="29" fillId="9" borderId="6" xfId="1" applyFont="1" applyFill="1" applyBorder="1" applyAlignment="1" applyProtection="1">
      <alignment horizontal="center" vertical="center"/>
    </xf>
    <xf numFmtId="44" fontId="29" fillId="26" borderId="6" xfId="1" applyFont="1" applyFill="1" applyBorder="1" applyAlignment="1" applyProtection="1">
      <alignment horizontal="center" vertical="center"/>
    </xf>
    <xf numFmtId="10" fontId="30" fillId="9" borderId="25" xfId="1" applyNumberFormat="1" applyFont="1" applyFill="1" applyBorder="1" applyAlignment="1" applyProtection="1">
      <alignment horizontal="center" vertical="center"/>
    </xf>
    <xf numFmtId="44" fontId="29" fillId="0" borderId="6" xfId="1" applyFont="1" applyBorder="1" applyAlignment="1" applyProtection="1">
      <alignment horizontal="center" vertical="center"/>
    </xf>
    <xf numFmtId="44" fontId="30" fillId="26" borderId="6" xfId="1" applyFont="1" applyFill="1" applyBorder="1" applyAlignment="1" applyProtection="1">
      <alignment horizontal="center" vertical="center"/>
    </xf>
    <xf numFmtId="170" fontId="30" fillId="0" borderId="6" xfId="0" applyNumberFormat="1" applyFont="1" applyBorder="1" applyAlignment="1" applyProtection="1">
      <alignment horizontal="center" vertical="center"/>
    </xf>
    <xf numFmtId="44" fontId="29" fillId="0" borderId="6" xfId="0" applyNumberFormat="1" applyFont="1" applyBorder="1" applyAlignment="1" applyProtection="1">
      <alignment horizontal="center" vertical="center"/>
    </xf>
    <xf numFmtId="44" fontId="29" fillId="0" borderId="0" xfId="0" applyNumberFormat="1" applyFont="1" applyBorder="1" applyAlignment="1" applyProtection="1">
      <alignment horizontal="center" vertical="center"/>
    </xf>
    <xf numFmtId="10" fontId="30" fillId="9" borderId="6" xfId="6" applyNumberFormat="1" applyFont="1" applyFill="1" applyBorder="1" applyAlignment="1" applyProtection="1">
      <alignment horizontal="center" vertical="center"/>
    </xf>
    <xf numFmtId="0" fontId="44" fillId="0" borderId="6" xfId="0" applyFont="1" applyFill="1" applyBorder="1" applyAlignment="1">
      <alignment horizontal="center" vertical="center" wrapText="1"/>
    </xf>
    <xf numFmtId="0" fontId="41" fillId="9" borderId="0" xfId="0" applyFont="1" applyFill="1" applyBorder="1" applyAlignment="1" applyProtection="1">
      <alignment horizontal="center"/>
    </xf>
    <xf numFmtId="10" fontId="28" fillId="12" borderId="6" xfId="6" applyNumberFormat="1" applyFont="1" applyFill="1" applyBorder="1" applyAlignment="1" applyProtection="1">
      <alignment horizontal="center" vertical="center" wrapText="1"/>
      <protection locked="0"/>
    </xf>
    <xf numFmtId="10" fontId="31" fillId="0" borderId="6" xfId="6" applyNumberFormat="1" applyFont="1" applyBorder="1" applyAlignment="1" applyProtection="1">
      <alignment horizontal="center" vertical="center" wrapText="1"/>
    </xf>
    <xf numFmtId="10" fontId="31" fillId="0" borderId="0" xfId="6" applyNumberFormat="1" applyFont="1" applyBorder="1" applyAlignment="1" applyProtection="1">
      <alignment horizontal="center" vertical="center" wrapText="1"/>
    </xf>
    <xf numFmtId="0" fontId="23" fillId="0" borderId="0" xfId="0" applyFont="1" applyAlignment="1"/>
    <xf numFmtId="0" fontId="51" fillId="30" borderId="6" xfId="0" applyFont="1" applyFill="1" applyBorder="1" applyAlignment="1">
      <alignment horizontal="center" vertical="center" wrapText="1"/>
    </xf>
    <xf numFmtId="0" fontId="43" fillId="26" borderId="6" xfId="0" applyFont="1" applyFill="1" applyBorder="1" applyAlignment="1" applyProtection="1">
      <alignment horizontal="center" vertical="center"/>
    </xf>
    <xf numFmtId="0" fontId="43" fillId="26" borderId="6" xfId="0" applyFont="1" applyFill="1" applyBorder="1" applyAlignment="1" applyProtection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justify" vertical="center" wrapText="1"/>
    </xf>
    <xf numFmtId="44" fontId="29" fillId="0" borderId="6" xfId="1" applyFont="1" applyBorder="1" applyAlignment="1">
      <alignment horizontal="center" vertical="center"/>
    </xf>
    <xf numFmtId="0" fontId="44" fillId="30" borderId="6" xfId="0" applyFont="1" applyFill="1" applyBorder="1" applyAlignment="1">
      <alignment horizontal="center" vertical="center" wrapText="1"/>
    </xf>
    <xf numFmtId="0" fontId="44" fillId="30" borderId="2" xfId="0" applyFont="1" applyFill="1" applyBorder="1" applyAlignment="1">
      <alignment vertical="center" wrapText="1"/>
    </xf>
    <xf numFmtId="0" fontId="44" fillId="30" borderId="3" xfId="0" applyFont="1" applyFill="1" applyBorder="1" applyAlignment="1">
      <alignment vertical="center" wrapText="1"/>
    </xf>
    <xf numFmtId="0" fontId="44" fillId="30" borderId="25" xfId="0" applyFont="1" applyFill="1" applyBorder="1" applyAlignment="1">
      <alignment vertical="center" wrapText="1"/>
    </xf>
    <xf numFmtId="10" fontId="29" fillId="26" borderId="6" xfId="1" applyNumberFormat="1" applyFont="1" applyFill="1" applyBorder="1" applyAlignment="1">
      <alignment horizontal="center" vertical="center"/>
    </xf>
    <xf numFmtId="44" fontId="29" fillId="26" borderId="6" xfId="1" applyFont="1" applyFill="1" applyBorder="1" applyAlignment="1">
      <alignment horizontal="center" vertical="center"/>
    </xf>
    <xf numFmtId="0" fontId="44" fillId="30" borderId="24" xfId="0" applyFont="1" applyFill="1" applyBorder="1" applyAlignment="1">
      <alignment horizontal="center" vertical="center" wrapText="1"/>
    </xf>
    <xf numFmtId="0" fontId="44" fillId="9" borderId="6" xfId="0" applyFont="1" applyFill="1" applyBorder="1" applyAlignment="1">
      <alignment horizontal="center" vertical="center" wrapText="1"/>
    </xf>
    <xf numFmtId="44" fontId="29" fillId="9" borderId="6" xfId="1" applyFont="1" applyFill="1" applyBorder="1" applyAlignment="1">
      <alignment horizontal="center" vertical="center"/>
    </xf>
    <xf numFmtId="10" fontId="29" fillId="9" borderId="6" xfId="1" applyNumberFormat="1" applyFont="1" applyFill="1" applyBorder="1" applyAlignment="1">
      <alignment horizontal="center" vertical="center"/>
    </xf>
    <xf numFmtId="0" fontId="44" fillId="9" borderId="24" xfId="0" applyFont="1" applyFill="1" applyBorder="1" applyAlignment="1">
      <alignment horizontal="center" vertical="center" wrapText="1"/>
    </xf>
    <xf numFmtId="0" fontId="44" fillId="26" borderId="6" xfId="0" applyFont="1" applyFill="1" applyBorder="1" applyAlignment="1">
      <alignment horizontal="center" vertical="center" wrapText="1"/>
    </xf>
    <xf numFmtId="0" fontId="44" fillId="26" borderId="24" xfId="0" applyFont="1" applyFill="1" applyBorder="1" applyAlignment="1">
      <alignment horizontal="center" vertical="center" wrapText="1"/>
    </xf>
    <xf numFmtId="44" fontId="29" fillId="0" borderId="6" xfId="1" applyFont="1" applyFill="1" applyBorder="1" applyAlignment="1">
      <alignment horizontal="center" vertical="center"/>
    </xf>
    <xf numFmtId="10" fontId="29" fillId="0" borderId="6" xfId="1" applyNumberFormat="1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 wrapText="1"/>
    </xf>
    <xf numFmtId="0" fontId="44" fillId="26" borderId="9" xfId="0" applyFont="1" applyFill="1" applyBorder="1" applyAlignment="1">
      <alignment horizontal="center" vertical="center" wrapText="1"/>
    </xf>
    <xf numFmtId="44" fontId="23" fillId="0" borderId="0" xfId="0" applyNumberFormat="1" applyFont="1"/>
    <xf numFmtId="0" fontId="44" fillId="9" borderId="2" xfId="0" applyFont="1" applyFill="1" applyBorder="1" applyAlignment="1">
      <alignment horizontal="center" vertical="center" wrapText="1"/>
    </xf>
    <xf numFmtId="0" fontId="44" fillId="9" borderId="5" xfId="0" applyFont="1" applyFill="1" applyBorder="1" applyAlignment="1">
      <alignment horizontal="center" vertical="center" wrapText="1"/>
    </xf>
    <xf numFmtId="0" fontId="44" fillId="30" borderId="2" xfId="0" applyFont="1" applyFill="1" applyBorder="1" applyAlignment="1">
      <alignment horizontal="center" vertical="center" wrapText="1"/>
    </xf>
    <xf numFmtId="0" fontId="44" fillId="30" borderId="5" xfId="0" applyFont="1" applyFill="1" applyBorder="1" applyAlignment="1">
      <alignment horizontal="center" vertical="center" wrapText="1"/>
    </xf>
    <xf numFmtId="44" fontId="30" fillId="26" borderId="6" xfId="1" applyFont="1" applyFill="1" applyBorder="1" applyAlignment="1">
      <alignment horizontal="center" vertical="center"/>
    </xf>
    <xf numFmtId="0" fontId="23" fillId="0" borderId="8" xfId="0" applyFont="1" applyBorder="1" applyAlignment="1"/>
    <xf numFmtId="0" fontId="51" fillId="9" borderId="16" xfId="0" applyFont="1" applyFill="1" applyBorder="1" applyAlignment="1">
      <alignment vertical="center"/>
    </xf>
    <xf numFmtId="0" fontId="51" fillId="9" borderId="8" xfId="0" applyFont="1" applyFill="1" applyBorder="1" applyAlignment="1">
      <alignment vertical="center"/>
    </xf>
    <xf numFmtId="10" fontId="29" fillId="12" borderId="6" xfId="6" applyNumberFormat="1" applyFont="1" applyFill="1" applyBorder="1" applyAlignment="1" applyProtection="1">
      <alignment horizontal="center" vertical="center"/>
      <protection locked="0"/>
    </xf>
    <xf numFmtId="10" fontId="30" fillId="0" borderId="6" xfId="6" applyNumberFormat="1" applyFont="1" applyBorder="1" applyAlignment="1" applyProtection="1">
      <alignment horizontal="center" vertical="center"/>
    </xf>
    <xf numFmtId="10" fontId="30" fillId="0" borderId="0" xfId="6" applyNumberFormat="1" applyFont="1" applyBorder="1" applyAlignment="1" applyProtection="1">
      <alignment horizontal="center" vertical="center"/>
    </xf>
    <xf numFmtId="44" fontId="29" fillId="9" borderId="6" xfId="1" applyFont="1" applyFill="1" applyBorder="1"/>
    <xf numFmtId="44" fontId="29" fillId="0" borderId="6" xfId="1" applyFont="1" applyFill="1" applyBorder="1"/>
    <xf numFmtId="0" fontId="30" fillId="0" borderId="0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left" vertical="center"/>
    </xf>
    <xf numFmtId="165" fontId="25" fillId="0" borderId="6" xfId="0" applyNumberFormat="1" applyFont="1" applyBorder="1" applyAlignment="1" applyProtection="1">
      <alignment horizontal="center" vertical="center"/>
    </xf>
    <xf numFmtId="0" fontId="26" fillId="4" borderId="6" xfId="0" applyFont="1" applyFill="1" applyBorder="1" applyAlignment="1" applyProtection="1">
      <alignment horizontal="center" vertical="center"/>
    </xf>
    <xf numFmtId="165" fontId="25" fillId="13" borderId="6" xfId="0" applyNumberFormat="1" applyFont="1" applyFill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horizontal="center" vertical="center"/>
    </xf>
    <xf numFmtId="10" fontId="25" fillId="27" borderId="6" xfId="0" applyNumberFormat="1" applyFont="1" applyFill="1" applyBorder="1" applyAlignment="1" applyProtection="1">
      <alignment horizontal="center" vertical="center"/>
      <protection locked="0"/>
    </xf>
    <xf numFmtId="0" fontId="25" fillId="2" borderId="6" xfId="0" applyFont="1" applyFill="1" applyBorder="1" applyAlignment="1" applyProtection="1">
      <alignment horizontal="center" vertical="center"/>
    </xf>
    <xf numFmtId="0" fontId="25" fillId="27" borderId="6" xfId="0" applyFont="1" applyFill="1" applyBorder="1" applyAlignment="1" applyProtection="1">
      <alignment horizontal="center" vertical="center"/>
      <protection locked="0"/>
    </xf>
    <xf numFmtId="10" fontId="25" fillId="13" borderId="6" xfId="0" applyNumberFormat="1" applyFont="1" applyFill="1" applyBorder="1" applyAlignment="1" applyProtection="1">
      <alignment horizontal="center" vertical="center"/>
    </xf>
    <xf numFmtId="165" fontId="25" fillId="27" borderId="6" xfId="0" applyNumberFormat="1" applyFont="1" applyFill="1" applyBorder="1" applyAlignment="1" applyProtection="1">
      <alignment horizontal="center" vertical="center"/>
      <protection locked="0"/>
    </xf>
    <xf numFmtId="0" fontId="26" fillId="5" borderId="6" xfId="0" applyFont="1" applyFill="1" applyBorder="1" applyAlignment="1" applyProtection="1">
      <alignment horizontal="center" vertical="center"/>
    </xf>
    <xf numFmtId="14" fontId="25" fillId="27" borderId="6" xfId="0" applyNumberFormat="1" applyFont="1" applyFill="1" applyBorder="1" applyAlignment="1" applyProtection="1">
      <alignment horizontal="center"/>
      <protection locked="0"/>
    </xf>
    <xf numFmtId="165" fontId="25" fillId="0" borderId="6" xfId="0" applyNumberFormat="1" applyFont="1" applyFill="1" applyBorder="1" applyAlignment="1" applyProtection="1">
      <alignment horizontal="center" vertical="center"/>
    </xf>
    <xf numFmtId="0" fontId="27" fillId="6" borderId="6" xfId="0" applyFont="1" applyFill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30" fillId="26" borderId="6" xfId="0" applyFont="1" applyFill="1" applyBorder="1" applyAlignment="1" applyProtection="1">
      <alignment horizontal="center" vertical="center" wrapText="1"/>
    </xf>
    <xf numFmtId="0" fontId="29" fillId="0" borderId="6" xfId="0" applyFont="1" applyBorder="1" applyAlignment="1" applyProtection="1">
      <alignment horizontal="center" vertical="center" wrapText="1"/>
    </xf>
    <xf numFmtId="44" fontId="29" fillId="26" borderId="7" xfId="1" applyFont="1" applyFill="1" applyBorder="1" applyAlignment="1">
      <alignment horizontal="center" vertical="center"/>
    </xf>
    <xf numFmtId="44" fontId="29" fillId="26" borderId="26" xfId="1" applyFont="1" applyFill="1" applyBorder="1" applyAlignment="1">
      <alignment horizontal="center" vertical="center"/>
    </xf>
    <xf numFmtId="44" fontId="29" fillId="26" borderId="24" xfId="1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51" fillId="30" borderId="9" xfId="0" applyFont="1" applyFill="1" applyBorder="1" applyAlignment="1">
      <alignment horizontal="center" vertical="center"/>
    </xf>
    <xf numFmtId="0" fontId="51" fillId="30" borderId="5" xfId="0" applyFont="1" applyFill="1" applyBorder="1" applyAlignment="1">
      <alignment horizontal="center" vertical="center"/>
    </xf>
    <xf numFmtId="0" fontId="51" fillId="30" borderId="10" xfId="0" applyFont="1" applyFill="1" applyBorder="1" applyAlignment="1">
      <alignment horizontal="center" vertical="center"/>
    </xf>
    <xf numFmtId="0" fontId="51" fillId="30" borderId="16" xfId="0" applyFont="1" applyFill="1" applyBorder="1" applyAlignment="1">
      <alignment horizontal="center" vertical="center"/>
    </xf>
    <xf numFmtId="0" fontId="51" fillId="30" borderId="8" xfId="0" applyFont="1" applyFill="1" applyBorder="1" applyAlignment="1">
      <alignment horizontal="center" vertical="center"/>
    </xf>
    <xf numFmtId="0" fontId="51" fillId="30" borderId="17" xfId="0" applyFont="1" applyFill="1" applyBorder="1" applyAlignment="1">
      <alignment horizontal="center" vertical="center"/>
    </xf>
    <xf numFmtId="0" fontId="51" fillId="30" borderId="2" xfId="0" applyFont="1" applyFill="1" applyBorder="1" applyAlignment="1">
      <alignment horizontal="center" vertical="center"/>
    </xf>
    <xf numFmtId="0" fontId="51" fillId="30" borderId="3" xfId="0" applyFont="1" applyFill="1" applyBorder="1" applyAlignment="1">
      <alignment horizontal="center" vertical="center"/>
    </xf>
    <xf numFmtId="0" fontId="51" fillId="30" borderId="25" xfId="0" applyFont="1" applyFill="1" applyBorder="1" applyAlignment="1">
      <alignment horizontal="center" vertical="center"/>
    </xf>
    <xf numFmtId="0" fontId="44" fillId="26" borderId="10" xfId="0" applyFont="1" applyFill="1" applyBorder="1" applyAlignment="1">
      <alignment horizontal="center" vertical="center" wrapText="1"/>
    </xf>
    <xf numFmtId="0" fontId="44" fillId="26" borderId="12" xfId="0" applyFont="1" applyFill="1" applyBorder="1" applyAlignment="1">
      <alignment horizontal="center" vertical="center" wrapText="1"/>
    </xf>
    <xf numFmtId="0" fontId="44" fillId="26" borderId="17" xfId="0" applyFont="1" applyFill="1" applyBorder="1" applyAlignment="1">
      <alignment horizontal="center" vertical="center" wrapText="1"/>
    </xf>
    <xf numFmtId="0" fontId="44" fillId="26" borderId="7" xfId="0" applyFont="1" applyFill="1" applyBorder="1" applyAlignment="1">
      <alignment horizontal="justify" vertical="center" wrapText="1"/>
    </xf>
    <xf numFmtId="0" fontId="44" fillId="26" borderId="26" xfId="0" applyFont="1" applyFill="1" applyBorder="1" applyAlignment="1">
      <alignment horizontal="justify" vertical="center" wrapText="1"/>
    </xf>
    <xf numFmtId="0" fontId="44" fillId="26" borderId="24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justify" vertical="center" wrapText="1"/>
    </xf>
    <xf numFmtId="0" fontId="44" fillId="0" borderId="26" xfId="0" applyFont="1" applyFill="1" applyBorder="1" applyAlignment="1">
      <alignment horizontal="justify" vertical="center" wrapText="1"/>
    </xf>
    <xf numFmtId="0" fontId="44" fillId="0" borderId="24" xfId="0" applyFont="1" applyFill="1" applyBorder="1" applyAlignment="1">
      <alignment horizontal="justify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30" borderId="10" xfId="0" applyFont="1" applyFill="1" applyBorder="1" applyAlignment="1">
      <alignment horizontal="center" vertical="center" wrapText="1"/>
    </xf>
    <xf numFmtId="0" fontId="44" fillId="30" borderId="12" xfId="0" applyFont="1" applyFill="1" applyBorder="1" applyAlignment="1">
      <alignment horizontal="center" vertical="center" wrapText="1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7" xfId="0" applyFont="1" applyFill="1" applyBorder="1" applyAlignment="1">
      <alignment horizontal="justify" vertical="center" wrapText="1"/>
    </xf>
    <xf numFmtId="0" fontId="44" fillId="30" borderId="26" xfId="0" applyFont="1" applyFill="1" applyBorder="1" applyAlignment="1">
      <alignment horizontal="justify" vertical="center" wrapText="1"/>
    </xf>
    <xf numFmtId="0" fontId="44" fillId="30" borderId="24" xfId="0" applyFont="1" applyFill="1" applyBorder="1" applyAlignment="1">
      <alignment horizontal="justify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26" borderId="7" xfId="0" applyFont="1" applyFill="1" applyBorder="1" applyAlignment="1">
      <alignment horizontal="center" vertical="center" wrapText="1"/>
    </xf>
    <xf numFmtId="0" fontId="44" fillId="26" borderId="26" xfId="0" applyFont="1" applyFill="1" applyBorder="1" applyAlignment="1">
      <alignment horizontal="center" vertical="center" wrapText="1"/>
    </xf>
    <xf numFmtId="0" fontId="44" fillId="26" borderId="24" xfId="0" applyFont="1" applyFill="1" applyBorder="1" applyAlignment="1">
      <alignment horizontal="center" vertical="center" wrapText="1"/>
    </xf>
    <xf numFmtId="0" fontId="44" fillId="30" borderId="6" xfId="0" applyFont="1" applyFill="1" applyBorder="1" applyAlignment="1">
      <alignment horizontal="center" vertical="center" wrapText="1"/>
    </xf>
    <xf numFmtId="0" fontId="44" fillId="26" borderId="2" xfId="0" applyFont="1" applyFill="1" applyBorder="1" applyAlignment="1">
      <alignment horizontal="center" vertical="center" wrapText="1"/>
    </xf>
    <xf numFmtId="0" fontId="44" fillId="26" borderId="25" xfId="0" applyFont="1" applyFill="1" applyBorder="1" applyAlignment="1">
      <alignment horizontal="center" vertical="center" wrapText="1"/>
    </xf>
    <xf numFmtId="0" fontId="44" fillId="30" borderId="2" xfId="0" applyFont="1" applyFill="1" applyBorder="1" applyAlignment="1">
      <alignment horizontal="center" vertical="center" wrapText="1"/>
    </xf>
    <xf numFmtId="0" fontId="44" fillId="30" borderId="3" xfId="0" applyFont="1" applyFill="1" applyBorder="1" applyAlignment="1">
      <alignment horizontal="center" vertical="center" wrapText="1"/>
    </xf>
    <xf numFmtId="0" fontId="44" fillId="30" borderId="25" xfId="0" applyFont="1" applyFill="1" applyBorder="1" applyAlignment="1">
      <alignment horizontal="center" vertical="center" wrapText="1"/>
    </xf>
    <xf numFmtId="0" fontId="44" fillId="26" borderId="3" xfId="0" applyFont="1" applyFill="1" applyBorder="1" applyAlignment="1">
      <alignment horizontal="center" vertical="center" wrapText="1"/>
    </xf>
    <xf numFmtId="0" fontId="44" fillId="9" borderId="6" xfId="0" applyFont="1" applyFill="1" applyBorder="1" applyAlignment="1">
      <alignment horizontal="center" vertical="center" wrapText="1"/>
    </xf>
    <xf numFmtId="0" fontId="44" fillId="26" borderId="9" xfId="0" applyFont="1" applyFill="1" applyBorder="1" applyAlignment="1">
      <alignment horizontal="center" vertical="center" wrapText="1"/>
    </xf>
    <xf numFmtId="0" fontId="44" fillId="26" borderId="11" xfId="0" applyFont="1" applyFill="1" applyBorder="1" applyAlignment="1">
      <alignment horizontal="center" vertical="center" wrapText="1"/>
    </xf>
    <xf numFmtId="0" fontId="44" fillId="26" borderId="16" xfId="0" applyFont="1" applyFill="1" applyBorder="1" applyAlignment="1">
      <alignment horizontal="center" vertical="center" wrapText="1"/>
    </xf>
    <xf numFmtId="0" fontId="44" fillId="9" borderId="2" xfId="0" applyFont="1" applyFill="1" applyBorder="1" applyAlignment="1">
      <alignment horizontal="center" vertical="center" wrapText="1"/>
    </xf>
    <xf numFmtId="0" fontId="44" fillId="9" borderId="25" xfId="0" applyFont="1" applyFill="1" applyBorder="1" applyAlignment="1">
      <alignment horizontal="center" vertical="center" wrapText="1"/>
    </xf>
    <xf numFmtId="0" fontId="44" fillId="9" borderId="3" xfId="0" applyFont="1" applyFill="1" applyBorder="1" applyAlignment="1">
      <alignment horizontal="center" vertical="center" wrapText="1"/>
    </xf>
    <xf numFmtId="0" fontId="43" fillId="26" borderId="2" xfId="0" applyFont="1" applyFill="1" applyBorder="1" applyAlignment="1" applyProtection="1">
      <alignment horizontal="center"/>
    </xf>
    <xf numFmtId="0" fontId="43" fillId="26" borderId="3" xfId="0" applyFont="1" applyFill="1" applyBorder="1" applyAlignment="1" applyProtection="1">
      <alignment horizontal="center"/>
    </xf>
    <xf numFmtId="0" fontId="43" fillId="26" borderId="25" xfId="0" applyFont="1" applyFill="1" applyBorder="1" applyAlignment="1" applyProtection="1">
      <alignment horizontal="center"/>
    </xf>
    <xf numFmtId="0" fontId="44" fillId="9" borderId="10" xfId="0" applyFont="1" applyFill="1" applyBorder="1" applyAlignment="1">
      <alignment horizontal="center" vertical="center" wrapText="1"/>
    </xf>
    <xf numFmtId="0" fontId="44" fillId="9" borderId="12" xfId="0" applyFont="1" applyFill="1" applyBorder="1" applyAlignment="1">
      <alignment horizontal="center" vertical="center" wrapText="1"/>
    </xf>
    <xf numFmtId="0" fontId="44" fillId="9" borderId="17" xfId="0" applyFont="1" applyFill="1" applyBorder="1" applyAlignment="1">
      <alignment horizontal="center" vertical="center" wrapText="1"/>
    </xf>
    <xf numFmtId="0" fontId="44" fillId="9" borderId="7" xfId="0" applyFont="1" applyFill="1" applyBorder="1" applyAlignment="1">
      <alignment horizontal="justify" vertical="center" wrapText="1"/>
    </xf>
    <xf numFmtId="0" fontId="44" fillId="9" borderId="26" xfId="0" applyFont="1" applyFill="1" applyBorder="1" applyAlignment="1">
      <alignment horizontal="justify" vertical="center" wrapText="1"/>
    </xf>
    <xf numFmtId="0" fontId="44" fillId="9" borderId="24" xfId="0" applyFont="1" applyFill="1" applyBorder="1" applyAlignment="1">
      <alignment horizontal="justify" vertical="center" wrapText="1"/>
    </xf>
    <xf numFmtId="0" fontId="44" fillId="9" borderId="7" xfId="0" applyFont="1" applyFill="1" applyBorder="1" applyAlignment="1">
      <alignment horizontal="center" vertical="center" wrapText="1"/>
    </xf>
    <xf numFmtId="0" fontId="44" fillId="9" borderId="26" xfId="0" applyFont="1" applyFill="1" applyBorder="1" applyAlignment="1">
      <alignment horizontal="center" vertical="center" wrapText="1"/>
    </xf>
    <xf numFmtId="0" fontId="44" fillId="9" borderId="24" xfId="0" applyFont="1" applyFill="1" applyBorder="1" applyAlignment="1">
      <alignment horizontal="center" vertical="center" wrapText="1"/>
    </xf>
    <xf numFmtId="0" fontId="25" fillId="26" borderId="7" xfId="0" applyFont="1" applyFill="1" applyBorder="1" applyAlignment="1" applyProtection="1">
      <alignment horizontal="center" vertical="center"/>
    </xf>
    <xf numFmtId="0" fontId="25" fillId="26" borderId="26" xfId="0" applyFont="1" applyFill="1" applyBorder="1" applyAlignment="1" applyProtection="1">
      <alignment horizontal="center" vertical="center"/>
    </xf>
    <xf numFmtId="0" fontId="25" fillId="26" borderId="24" xfId="0" applyFont="1" applyFill="1" applyBorder="1" applyAlignment="1" applyProtection="1">
      <alignment horizontal="center" vertical="center"/>
    </xf>
    <xf numFmtId="165" fontId="25" fillId="0" borderId="7" xfId="0" applyNumberFormat="1" applyFont="1" applyBorder="1" applyAlignment="1" applyProtection="1">
      <alignment horizontal="center" vertical="center"/>
    </xf>
    <xf numFmtId="165" fontId="25" fillId="0" borderId="24" xfId="0" applyNumberFormat="1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 vertical="center"/>
    </xf>
    <xf numFmtId="0" fontId="25" fillId="0" borderId="26" xfId="0" applyFont="1" applyBorder="1" applyAlignment="1" applyProtection="1">
      <alignment horizontal="center" vertical="center"/>
    </xf>
    <xf numFmtId="0" fontId="25" fillId="0" borderId="24" xfId="0" applyFont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165" fontId="25" fillId="13" borderId="6" xfId="0" applyNumberFormat="1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</xf>
    <xf numFmtId="0" fontId="25" fillId="2" borderId="25" xfId="0" applyFont="1" applyFill="1" applyBorder="1" applyAlignment="1" applyProtection="1">
      <alignment horizontal="center" vertical="center"/>
    </xf>
    <xf numFmtId="0" fontId="38" fillId="29" borderId="6" xfId="0" applyFont="1" applyFill="1" applyBorder="1" applyAlignment="1" applyProtection="1">
      <alignment horizontal="center" vertical="center"/>
    </xf>
    <xf numFmtId="0" fontId="26" fillId="5" borderId="6" xfId="0" applyFont="1" applyFill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0" fontId="26" fillId="29" borderId="6" xfId="0" applyFont="1" applyFill="1" applyBorder="1" applyAlignment="1" applyProtection="1">
      <alignment horizontal="center" vertical="center"/>
    </xf>
    <xf numFmtId="1" fontId="25" fillId="27" borderId="6" xfId="0" applyNumberFormat="1" applyFont="1" applyFill="1" applyBorder="1" applyAlignment="1" applyProtection="1">
      <alignment horizontal="center" vertical="center"/>
      <protection locked="0"/>
    </xf>
    <xf numFmtId="0" fontId="26" fillId="24" borderId="6" xfId="0" applyFont="1" applyFill="1" applyBorder="1" applyAlignment="1" applyProtection="1">
      <alignment horizontal="center" vertical="center"/>
    </xf>
    <xf numFmtId="0" fontId="25" fillId="7" borderId="6" xfId="0" applyFont="1" applyFill="1" applyBorder="1" applyAlignment="1" applyProtection="1">
      <alignment horizontal="center"/>
    </xf>
    <xf numFmtId="0" fontId="26" fillId="4" borderId="6" xfId="0" applyFont="1" applyFill="1" applyBorder="1" applyAlignment="1" applyProtection="1">
      <alignment horizontal="center" vertical="center"/>
    </xf>
    <xf numFmtId="0" fontId="41" fillId="12" borderId="6" xfId="0" applyFont="1" applyFill="1" applyBorder="1" applyAlignment="1" applyProtection="1">
      <alignment horizontal="center"/>
    </xf>
    <xf numFmtId="10" fontId="25" fillId="27" borderId="6" xfId="0" applyNumberFormat="1" applyFont="1" applyFill="1" applyBorder="1" applyAlignment="1" applyProtection="1">
      <alignment horizontal="center"/>
      <protection locked="0"/>
    </xf>
    <xf numFmtId="165" fontId="25" fillId="0" borderId="6" xfId="0" applyNumberFormat="1" applyFont="1" applyBorder="1" applyAlignment="1" applyProtection="1">
      <alignment horizontal="center" vertical="center"/>
    </xf>
    <xf numFmtId="0" fontId="31" fillId="0" borderId="2" xfId="0" applyFont="1" applyFill="1" applyBorder="1" applyAlignment="1" applyProtection="1">
      <alignment horizontal="left" vertical="center" wrapText="1"/>
    </xf>
    <xf numFmtId="0" fontId="31" fillId="0" borderId="3" xfId="0" applyFont="1" applyFill="1" applyBorder="1" applyAlignment="1" applyProtection="1">
      <alignment horizontal="left" vertical="center" wrapText="1"/>
    </xf>
    <xf numFmtId="0" fontId="31" fillId="0" borderId="4" xfId="0" applyFont="1" applyFill="1" applyBorder="1" applyAlignment="1" applyProtection="1">
      <alignment horizontal="left" vertical="center" wrapText="1"/>
    </xf>
    <xf numFmtId="0" fontId="31" fillId="0" borderId="6" xfId="0" applyFont="1" applyFill="1" applyBorder="1" applyAlignment="1" applyProtection="1">
      <alignment horizontal="left" vertical="center" wrapText="1"/>
    </xf>
    <xf numFmtId="0" fontId="27" fillId="6" borderId="6" xfId="0" applyFont="1" applyFill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 vertical="center"/>
    </xf>
    <xf numFmtId="10" fontId="26" fillId="0" borderId="6" xfId="0" applyNumberFormat="1" applyFont="1" applyBorder="1" applyAlignment="1" applyProtection="1">
      <alignment horizontal="center" vertical="center"/>
    </xf>
    <xf numFmtId="10" fontId="25" fillId="10" borderId="6" xfId="0" applyNumberFormat="1" applyFont="1" applyFill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horizontal="center"/>
    </xf>
    <xf numFmtId="0" fontId="25" fillId="0" borderId="6" xfId="0" applyFont="1" applyBorder="1" applyAlignment="1" applyProtection="1">
      <alignment vertical="center"/>
    </xf>
    <xf numFmtId="10" fontId="31" fillId="4" borderId="6" xfId="0" applyNumberFormat="1" applyFont="1" applyFill="1" applyBorder="1" applyAlignment="1" applyProtection="1">
      <alignment horizontal="center" vertical="center"/>
    </xf>
    <xf numFmtId="0" fontId="25" fillId="27" borderId="6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26" fillId="10" borderId="6" xfId="0" applyFont="1" applyFill="1" applyBorder="1" applyAlignment="1" applyProtection="1">
      <alignment horizontal="center" vertical="center"/>
    </xf>
    <xf numFmtId="0" fontId="26" fillId="8" borderId="6" xfId="0" applyFont="1" applyFill="1" applyBorder="1" applyAlignment="1" applyProtection="1">
      <alignment horizontal="center" vertical="center"/>
    </xf>
    <xf numFmtId="10" fontId="25" fillId="27" borderId="6" xfId="0" applyNumberFormat="1" applyFont="1" applyFill="1" applyBorder="1" applyAlignment="1" applyProtection="1">
      <alignment horizontal="center" vertical="center"/>
      <protection locked="0"/>
    </xf>
    <xf numFmtId="0" fontId="26" fillId="22" borderId="6" xfId="0" applyFont="1" applyFill="1" applyBorder="1" applyAlignment="1" applyProtection="1">
      <alignment horizontal="center" vertical="center"/>
    </xf>
    <xf numFmtId="10" fontId="25" fillId="13" borderId="6" xfId="0" applyNumberFormat="1" applyFont="1" applyFill="1" applyBorder="1" applyAlignment="1" applyProtection="1">
      <alignment horizontal="center" vertical="center"/>
    </xf>
    <xf numFmtId="10" fontId="26" fillId="5" borderId="6" xfId="0" applyNumberFormat="1" applyFont="1" applyFill="1" applyBorder="1" applyAlignment="1" applyProtection="1">
      <alignment horizontal="center" vertical="center"/>
    </xf>
    <xf numFmtId="0" fontId="40" fillId="9" borderId="9" xfId="0" applyFont="1" applyFill="1" applyBorder="1" applyAlignment="1" applyProtection="1">
      <alignment horizontal="left" vertical="center" wrapText="1"/>
    </xf>
    <xf numFmtId="0" fontId="40" fillId="9" borderId="5" xfId="0" applyFont="1" applyFill="1" applyBorder="1" applyAlignment="1" applyProtection="1">
      <alignment horizontal="left" vertical="center" wrapText="1"/>
    </xf>
    <xf numFmtId="0" fontId="40" fillId="9" borderId="10" xfId="0" applyFont="1" applyFill="1" applyBorder="1" applyAlignment="1" applyProtection="1">
      <alignment horizontal="left" vertical="center" wrapText="1"/>
    </xf>
    <xf numFmtId="0" fontId="40" fillId="9" borderId="16" xfId="0" applyFont="1" applyFill="1" applyBorder="1" applyAlignment="1" applyProtection="1">
      <alignment horizontal="left" vertical="center" wrapText="1"/>
    </xf>
    <xf numFmtId="0" fontId="40" fillId="9" borderId="8" xfId="0" applyFont="1" applyFill="1" applyBorder="1" applyAlignment="1" applyProtection="1">
      <alignment horizontal="left" vertical="center" wrapText="1"/>
    </xf>
    <xf numFmtId="0" fontId="40" fillId="9" borderId="17" xfId="0" applyFont="1" applyFill="1" applyBorder="1" applyAlignment="1" applyProtection="1">
      <alignment horizontal="left" vertical="center" wrapText="1"/>
    </xf>
    <xf numFmtId="0" fontId="26" fillId="15" borderId="6" xfId="0" applyFont="1" applyFill="1" applyBorder="1" applyAlignment="1" applyProtection="1">
      <alignment horizontal="center" vertical="center"/>
    </xf>
    <xf numFmtId="0" fontId="25" fillId="27" borderId="6" xfId="0" applyFont="1" applyFill="1" applyBorder="1" applyAlignment="1" applyProtection="1">
      <alignment vertical="center"/>
      <protection locked="0"/>
    </xf>
    <xf numFmtId="0" fontId="31" fillId="12" borderId="6" xfId="0" applyFont="1" applyFill="1" applyBorder="1" applyAlignment="1" applyProtection="1">
      <alignment horizontal="left" vertical="center" wrapText="1"/>
    </xf>
    <xf numFmtId="0" fontId="26" fillId="16" borderId="6" xfId="0" applyFont="1" applyFill="1" applyBorder="1" applyAlignment="1" applyProtection="1">
      <alignment horizontal="center" vertical="center"/>
    </xf>
    <xf numFmtId="0" fontId="25" fillId="5" borderId="6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165" fontId="25" fillId="0" borderId="6" xfId="0" applyNumberFormat="1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 applyProtection="1">
      <alignment horizontal="left" vertical="center"/>
    </xf>
    <xf numFmtId="0" fontId="25" fillId="0" borderId="6" xfId="0" applyFont="1" applyBorder="1" applyAlignment="1" applyProtection="1">
      <alignment horizontal="left" vertical="center"/>
    </xf>
    <xf numFmtId="0" fontId="39" fillId="9" borderId="9" xfId="0" applyFont="1" applyFill="1" applyBorder="1" applyAlignment="1" applyProtection="1">
      <alignment vertical="center" wrapText="1"/>
    </xf>
    <xf numFmtId="0" fontId="39" fillId="9" borderId="5" xfId="0" applyFont="1" applyFill="1" applyBorder="1" applyAlignment="1" applyProtection="1">
      <alignment vertical="center" wrapText="1"/>
    </xf>
    <xf numFmtId="0" fontId="39" fillId="9" borderId="10" xfId="0" applyFont="1" applyFill="1" applyBorder="1" applyAlignment="1" applyProtection="1">
      <alignment vertical="center" wrapText="1"/>
    </xf>
    <xf numFmtId="0" fontId="39" fillId="9" borderId="16" xfId="0" applyFont="1" applyFill="1" applyBorder="1" applyAlignment="1" applyProtection="1">
      <alignment vertical="center" wrapText="1"/>
    </xf>
    <xf numFmtId="0" fontId="39" fillId="9" borderId="8" xfId="0" applyFont="1" applyFill="1" applyBorder="1" applyAlignment="1" applyProtection="1">
      <alignment vertical="center" wrapText="1"/>
    </xf>
    <xf numFmtId="0" fontId="39" fillId="9" borderId="17" xfId="0" applyFont="1" applyFill="1" applyBorder="1" applyAlignment="1" applyProtection="1">
      <alignment vertical="center" wrapText="1"/>
    </xf>
    <xf numFmtId="0" fontId="38" fillId="29" borderId="1" xfId="0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 vertical="center" wrapText="1"/>
    </xf>
    <xf numFmtId="0" fontId="28" fillId="0" borderId="6" xfId="0" applyFont="1" applyBorder="1" applyAlignment="1" applyProtection="1">
      <alignment horizontal="center" vertical="center" wrapText="1"/>
    </xf>
    <xf numFmtId="0" fontId="31" fillId="19" borderId="6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/>
    </xf>
    <xf numFmtId="0" fontId="25" fillId="18" borderId="6" xfId="0" applyFont="1" applyFill="1" applyBorder="1" applyAlignment="1" applyProtection="1">
      <alignment horizontal="center" vertical="center"/>
    </xf>
    <xf numFmtId="0" fontId="25" fillId="17" borderId="6" xfId="0" applyFont="1" applyFill="1" applyBorder="1" applyAlignment="1" applyProtection="1">
      <alignment horizontal="justify" vertical="center" wrapText="1"/>
    </xf>
    <xf numFmtId="14" fontId="25" fillId="27" borderId="6" xfId="0" applyNumberFormat="1" applyFont="1" applyFill="1" applyBorder="1" applyAlignment="1" applyProtection="1">
      <alignment horizontal="center"/>
      <protection locked="0"/>
    </xf>
    <xf numFmtId="0" fontId="25" fillId="17" borderId="6" xfId="0" applyFont="1" applyFill="1" applyBorder="1" applyAlignment="1" applyProtection="1">
      <alignment horizontal="left" vertical="center"/>
    </xf>
    <xf numFmtId="165" fontId="25" fillId="27" borderId="6" xfId="0" applyNumberFormat="1" applyFont="1" applyFill="1" applyBorder="1" applyAlignment="1" applyProtection="1">
      <alignment horizontal="center" vertical="center"/>
      <protection locked="0"/>
    </xf>
    <xf numFmtId="0" fontId="26" fillId="23" borderId="6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left" vertical="center"/>
    </xf>
    <xf numFmtId="168" fontId="28" fillId="0" borderId="6" xfId="1" applyNumberFormat="1" applyFont="1" applyFill="1" applyBorder="1" applyAlignment="1" applyProtection="1">
      <alignment horizontal="center" vertical="center"/>
    </xf>
    <xf numFmtId="171" fontId="30" fillId="9" borderId="0" xfId="0" applyNumberFormat="1" applyFont="1" applyFill="1" applyBorder="1" applyAlignment="1" applyProtection="1">
      <alignment horizontal="left" vertical="center"/>
    </xf>
    <xf numFmtId="0" fontId="31" fillId="0" borderId="9" xfId="0" applyFont="1" applyFill="1" applyBorder="1" applyAlignment="1" applyProtection="1">
      <alignment horizontal="left" vertical="center" wrapText="1"/>
    </xf>
    <xf numFmtId="0" fontId="31" fillId="0" borderId="5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1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8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vertical="center" wrapText="1"/>
    </xf>
    <xf numFmtId="168" fontId="25" fillId="13" borderId="6" xfId="0" applyNumberFormat="1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 applyProtection="1">
      <alignment horizontal="center" vertical="center" wrapText="1"/>
    </xf>
    <xf numFmtId="0" fontId="31" fillId="0" borderId="9" xfId="0" applyFont="1" applyFill="1" applyBorder="1" applyAlignment="1" applyProtection="1">
      <alignment horizontal="left" wrapText="1"/>
    </xf>
    <xf numFmtId="0" fontId="31" fillId="0" borderId="5" xfId="0" applyFont="1" applyFill="1" applyBorder="1" applyAlignment="1" applyProtection="1">
      <alignment horizontal="left" wrapText="1"/>
    </xf>
    <xf numFmtId="0" fontId="31" fillId="0" borderId="10" xfId="0" applyFont="1" applyFill="1" applyBorder="1" applyAlignment="1" applyProtection="1">
      <alignment horizontal="left" wrapText="1"/>
    </xf>
    <xf numFmtId="0" fontId="31" fillId="0" borderId="11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left" wrapText="1"/>
    </xf>
    <xf numFmtId="0" fontId="31" fillId="0" borderId="12" xfId="0" applyFont="1" applyFill="1" applyBorder="1" applyAlignment="1" applyProtection="1">
      <alignment horizontal="left" wrapText="1"/>
    </xf>
    <xf numFmtId="0" fontId="31" fillId="0" borderId="16" xfId="0" applyFont="1" applyFill="1" applyBorder="1" applyAlignment="1" applyProtection="1">
      <alignment horizontal="left" wrapText="1"/>
    </xf>
    <xf numFmtId="0" fontId="31" fillId="0" borderId="8" xfId="0" applyFont="1" applyFill="1" applyBorder="1" applyAlignment="1" applyProtection="1">
      <alignment horizontal="left" wrapText="1"/>
    </xf>
    <xf numFmtId="0" fontId="31" fillId="0" borderId="17" xfId="0" applyFont="1" applyFill="1" applyBorder="1" applyAlignment="1" applyProtection="1">
      <alignment horizontal="left" wrapText="1"/>
    </xf>
    <xf numFmtId="0" fontId="25" fillId="0" borderId="1" xfId="0" applyFont="1" applyBorder="1" applyAlignment="1">
      <alignment vertical="center"/>
    </xf>
    <xf numFmtId="0" fontId="27" fillId="6" borderId="1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6" fillId="4" borderId="1" xfId="0" applyFont="1" applyFill="1" applyBorder="1" applyAlignment="1">
      <alignment horizontal="center" vertical="center"/>
    </xf>
    <xf numFmtId="10" fontId="31" fillId="4" borderId="1" xfId="0" applyNumberFormat="1" applyFont="1" applyFill="1" applyBorder="1" applyAlignment="1">
      <alignment horizontal="center" vertical="center"/>
    </xf>
    <xf numFmtId="10" fontId="25" fillId="3" borderId="1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10" fontId="25" fillId="3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0" fontId="26" fillId="0" borderId="1" xfId="0" applyNumberFormat="1" applyFont="1" applyBorder="1" applyAlignment="1">
      <alignment horizontal="center" vertical="center"/>
    </xf>
    <xf numFmtId="10" fontId="25" fillId="10" borderId="1" xfId="0" applyNumberFormat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/>
    </xf>
    <xf numFmtId="0" fontId="26" fillId="10" borderId="1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15" borderId="19" xfId="0" applyFont="1" applyFill="1" applyBorder="1" applyAlignment="1">
      <alignment horizontal="center" vertical="center"/>
    </xf>
    <xf numFmtId="0" fontId="26" fillId="15" borderId="18" xfId="0" applyFont="1" applyFill="1" applyBorder="1" applyAlignment="1">
      <alignment horizontal="center" vertical="center"/>
    </xf>
    <xf numFmtId="0" fontId="26" fillId="15" borderId="20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10" fontId="26" fillId="5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66" fontId="25" fillId="3" borderId="1" xfId="0" applyNumberFormat="1" applyFont="1" applyFill="1" applyBorder="1" applyAlignment="1">
      <alignment horizontal="center" vertical="center"/>
    </xf>
    <xf numFmtId="10" fontId="31" fillId="13" borderId="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38" fillId="14" borderId="1" xfId="0" applyFont="1" applyFill="1" applyBorder="1" applyAlignment="1">
      <alignment horizontal="center" vertical="center"/>
    </xf>
    <xf numFmtId="10" fontId="26" fillId="4" borderId="1" xfId="0" applyNumberFormat="1" applyFont="1" applyFill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68" fontId="25" fillId="3" borderId="1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/>
    </xf>
    <xf numFmtId="169" fontId="25" fillId="3" borderId="1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9" fillId="12" borderId="9" xfId="0" applyFont="1" applyFill="1" applyBorder="1" applyAlignment="1">
      <alignment vertical="center" wrapText="1"/>
    </xf>
    <xf numFmtId="0" fontId="39" fillId="12" borderId="5" xfId="0" applyFont="1" applyFill="1" applyBorder="1" applyAlignment="1">
      <alignment vertical="center" wrapText="1"/>
    </xf>
    <xf numFmtId="0" fontId="39" fillId="12" borderId="10" xfId="0" applyFont="1" applyFill="1" applyBorder="1" applyAlignment="1">
      <alignment vertical="center" wrapText="1"/>
    </xf>
    <xf numFmtId="0" fontId="39" fillId="12" borderId="16" xfId="0" applyFont="1" applyFill="1" applyBorder="1" applyAlignment="1">
      <alignment vertical="center" wrapText="1"/>
    </xf>
    <xf numFmtId="0" fontId="39" fillId="12" borderId="8" xfId="0" applyFont="1" applyFill="1" applyBorder="1" applyAlignment="1">
      <alignment vertical="center" wrapText="1"/>
    </xf>
    <xf numFmtId="0" fontId="39" fillId="12" borderId="17" xfId="0" applyFont="1" applyFill="1" applyBorder="1" applyAlignment="1">
      <alignment vertical="center" wrapText="1"/>
    </xf>
    <xf numFmtId="10" fontId="25" fillId="0" borderId="1" xfId="0" applyNumberFormat="1" applyFont="1" applyFill="1" applyBorder="1" applyAlignment="1">
      <alignment horizontal="center" vertical="center"/>
    </xf>
    <xf numFmtId="0" fontId="40" fillId="12" borderId="9" xfId="0" applyFont="1" applyFill="1" applyBorder="1" applyAlignment="1">
      <alignment horizontal="left" vertical="center" wrapText="1"/>
    </xf>
    <xf numFmtId="0" fontId="40" fillId="12" borderId="5" xfId="0" applyFont="1" applyFill="1" applyBorder="1" applyAlignment="1">
      <alignment horizontal="left" vertical="center" wrapText="1"/>
    </xf>
    <xf numFmtId="0" fontId="40" fillId="12" borderId="10" xfId="0" applyFont="1" applyFill="1" applyBorder="1" applyAlignment="1">
      <alignment horizontal="left" vertical="center" wrapText="1"/>
    </xf>
    <xf numFmtId="0" fontId="40" fillId="12" borderId="16" xfId="0" applyFont="1" applyFill="1" applyBorder="1" applyAlignment="1">
      <alignment horizontal="left" vertical="center" wrapText="1"/>
    </xf>
    <xf numFmtId="0" fontId="40" fillId="12" borderId="8" xfId="0" applyFont="1" applyFill="1" applyBorder="1" applyAlignment="1">
      <alignment horizontal="left" vertical="center" wrapText="1"/>
    </xf>
    <xf numFmtId="0" fontId="40" fillId="12" borderId="17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10" fontId="28" fillId="0" borderId="1" xfId="6" applyNumberFormat="1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6" fillId="16" borderId="1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wrapText="1"/>
    </xf>
    <xf numFmtId="0" fontId="31" fillId="0" borderId="5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31" fillId="0" borderId="12" xfId="0" applyFont="1" applyFill="1" applyBorder="1" applyAlignment="1">
      <alignment horizontal="left" wrapText="1"/>
    </xf>
    <xf numFmtId="0" fontId="31" fillId="0" borderId="16" xfId="0" applyFont="1" applyFill="1" applyBorder="1" applyAlignment="1">
      <alignment horizontal="left" wrapText="1"/>
    </xf>
    <xf numFmtId="0" fontId="31" fillId="0" borderId="8" xfId="0" applyFont="1" applyFill="1" applyBorder="1" applyAlignment="1">
      <alignment horizontal="left" wrapText="1"/>
    </xf>
    <xf numFmtId="0" fontId="31" fillId="0" borderId="17" xfId="0" applyFont="1" applyFill="1" applyBorder="1" applyAlignment="1">
      <alignment horizontal="left" wrapText="1"/>
    </xf>
    <xf numFmtId="10" fontId="25" fillId="0" borderId="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168" fontId="28" fillId="0" borderId="1" xfId="1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5" fillId="18" borderId="1" xfId="0" applyFont="1" applyFill="1" applyBorder="1" applyAlignment="1">
      <alignment horizontal="center" vertical="center"/>
    </xf>
    <xf numFmtId="0" fontId="25" fillId="17" borderId="13" xfId="0" applyFont="1" applyFill="1" applyBorder="1" applyAlignment="1">
      <alignment horizontal="left" vertical="center"/>
    </xf>
    <xf numFmtId="0" fontId="25" fillId="17" borderId="14" xfId="0" applyFont="1" applyFill="1" applyBorder="1" applyAlignment="1">
      <alignment horizontal="left" vertical="center"/>
    </xf>
    <xf numFmtId="0" fontId="25" fillId="17" borderId="15" xfId="0" applyFont="1" applyFill="1" applyBorder="1" applyAlignment="1">
      <alignment horizontal="left" vertical="center"/>
    </xf>
    <xf numFmtId="0" fontId="25" fillId="2" borderId="18" xfId="0" applyFont="1" applyFill="1" applyBorder="1" applyAlignment="1">
      <alignment horizontal="center"/>
    </xf>
    <xf numFmtId="0" fontId="26" fillId="19" borderId="21" xfId="0" applyFont="1" applyFill="1" applyBorder="1" applyAlignment="1">
      <alignment horizontal="center" vertical="center"/>
    </xf>
    <xf numFmtId="0" fontId="26" fillId="19" borderId="22" xfId="0" applyFont="1" applyFill="1" applyBorder="1" applyAlignment="1">
      <alignment horizontal="center" vertical="center"/>
    </xf>
    <xf numFmtId="0" fontId="26" fillId="19" borderId="23" xfId="0" applyFont="1" applyFill="1" applyBorder="1" applyAlignment="1">
      <alignment horizontal="center" vertical="center"/>
    </xf>
    <xf numFmtId="0" fontId="42" fillId="9" borderId="6" xfId="0" applyFont="1" applyFill="1" applyBorder="1" applyAlignment="1" applyProtection="1">
      <alignment horizontal="center"/>
    </xf>
    <xf numFmtId="0" fontId="30" fillId="26" borderId="7" xfId="0" applyFont="1" applyFill="1" applyBorder="1" applyAlignment="1" applyProtection="1">
      <alignment horizontal="center" vertical="center" wrapText="1"/>
    </xf>
    <xf numFmtId="0" fontId="30" fillId="26" borderId="26" xfId="0" applyFont="1" applyFill="1" applyBorder="1" applyAlignment="1" applyProtection="1">
      <alignment horizontal="center" vertical="center" wrapText="1"/>
    </xf>
    <xf numFmtId="0" fontId="30" fillId="26" borderId="24" xfId="0" applyFont="1" applyFill="1" applyBorder="1" applyAlignment="1" applyProtection="1">
      <alignment horizontal="center" vertical="center" wrapText="1"/>
    </xf>
    <xf numFmtId="0" fontId="30" fillId="26" borderId="6" xfId="0" applyFont="1" applyFill="1" applyBorder="1" applyAlignment="1" applyProtection="1">
      <alignment horizontal="center" vertical="center"/>
    </xf>
    <xf numFmtId="0" fontId="30" fillId="25" borderId="7" xfId="3" applyFont="1" applyFill="1" applyBorder="1" applyAlignment="1" applyProtection="1">
      <alignment horizontal="center" vertical="center" wrapText="1"/>
    </xf>
    <xf numFmtId="0" fontId="30" fillId="25" borderId="26" xfId="3" applyFont="1" applyFill="1" applyBorder="1" applyAlignment="1" applyProtection="1">
      <alignment horizontal="center" vertical="center" wrapText="1"/>
    </xf>
    <xf numFmtId="0" fontId="30" fillId="25" borderId="24" xfId="3" applyFont="1" applyFill="1" applyBorder="1" applyAlignment="1" applyProtection="1">
      <alignment horizontal="center" vertical="center" wrapText="1"/>
    </xf>
    <xf numFmtId="3" fontId="30" fillId="25" borderId="7" xfId="4" applyNumberFormat="1" applyFont="1" applyFill="1" applyBorder="1" applyAlignment="1" applyProtection="1">
      <alignment horizontal="center" vertical="center" wrapText="1"/>
    </xf>
    <xf numFmtId="3" fontId="30" fillId="25" borderId="26" xfId="4" applyNumberFormat="1" applyFont="1" applyFill="1" applyBorder="1" applyAlignment="1" applyProtection="1">
      <alignment horizontal="center" vertical="center" wrapText="1"/>
    </xf>
    <xf numFmtId="3" fontId="30" fillId="25" borderId="24" xfId="4" applyNumberFormat="1" applyFont="1" applyFill="1" applyBorder="1" applyAlignment="1" applyProtection="1">
      <alignment horizontal="center" vertical="center" wrapText="1"/>
    </xf>
    <xf numFmtId="0" fontId="43" fillId="9" borderId="6" xfId="0" applyFont="1" applyFill="1" applyBorder="1" applyAlignment="1" applyProtection="1">
      <alignment horizontal="center"/>
    </xf>
    <xf numFmtId="0" fontId="30" fillId="26" borderId="2" xfId="0" applyFont="1" applyFill="1" applyBorder="1" applyAlignment="1" applyProtection="1">
      <alignment horizontal="center" vertical="center"/>
    </xf>
    <xf numFmtId="0" fontId="30" fillId="26" borderId="3" xfId="0" applyFont="1" applyFill="1" applyBorder="1" applyAlignment="1" applyProtection="1">
      <alignment horizontal="center" vertical="center"/>
    </xf>
    <xf numFmtId="0" fontId="30" fillId="26" borderId="25" xfId="0" applyFont="1" applyFill="1" applyBorder="1" applyAlignment="1" applyProtection="1">
      <alignment horizontal="center" vertical="center"/>
    </xf>
    <xf numFmtId="0" fontId="41" fillId="12" borderId="2" xfId="0" applyFont="1" applyFill="1" applyBorder="1" applyAlignment="1" applyProtection="1">
      <alignment horizontal="center"/>
    </xf>
    <xf numFmtId="0" fontId="41" fillId="12" borderId="3" xfId="0" applyFont="1" applyFill="1" applyBorder="1" applyAlignment="1" applyProtection="1">
      <alignment horizontal="center"/>
    </xf>
    <xf numFmtId="0" fontId="41" fillId="12" borderId="25" xfId="0" applyFont="1" applyFill="1" applyBorder="1" applyAlignment="1" applyProtection="1">
      <alignment horizontal="center"/>
    </xf>
    <xf numFmtId="0" fontId="43" fillId="0" borderId="2" xfId="0" applyFont="1" applyBorder="1" applyAlignment="1" applyProtection="1">
      <alignment horizontal="center"/>
    </xf>
    <xf numFmtId="0" fontId="43" fillId="0" borderId="3" xfId="0" applyFont="1" applyBorder="1" applyAlignment="1" applyProtection="1">
      <alignment horizontal="center"/>
    </xf>
    <xf numFmtId="0" fontId="43" fillId="0" borderId="25" xfId="0" applyFont="1" applyBorder="1" applyAlignment="1" applyProtection="1">
      <alignment horizontal="center"/>
    </xf>
    <xf numFmtId="0" fontId="41" fillId="12" borderId="6" xfId="0" applyFont="1" applyFill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 vertical="center" wrapText="1"/>
    </xf>
    <xf numFmtId="0" fontId="29" fillId="0" borderId="6" xfId="0" applyFont="1" applyBorder="1" applyAlignment="1" applyProtection="1">
      <alignment horizontal="center" vertical="center"/>
    </xf>
    <xf numFmtId="0" fontId="48" fillId="9" borderId="6" xfId="0" applyFont="1" applyFill="1" applyBorder="1" applyAlignment="1" applyProtection="1">
      <alignment horizontal="center" vertical="center"/>
    </xf>
    <xf numFmtId="0" fontId="30" fillId="26" borderId="6" xfId="0" applyFont="1" applyFill="1" applyBorder="1" applyAlignment="1" applyProtection="1">
      <alignment horizontal="center" vertical="center" wrapText="1"/>
    </xf>
    <xf numFmtId="0" fontId="29" fillId="26" borderId="6" xfId="0" applyFont="1" applyFill="1" applyBorder="1" applyAlignment="1" applyProtection="1">
      <alignment horizontal="center" vertical="center" wrapText="1"/>
    </xf>
    <xf numFmtId="0" fontId="48" fillId="9" borderId="6" xfId="0" applyFont="1" applyFill="1" applyBorder="1" applyAlignment="1" applyProtection="1">
      <alignment horizontal="center" vertical="center" wrapText="1"/>
    </xf>
    <xf numFmtId="0" fontId="29" fillId="0" borderId="6" xfId="0" applyFont="1" applyBorder="1" applyAlignment="1" applyProtection="1">
      <alignment horizontal="center" vertical="center" wrapText="1"/>
    </xf>
    <xf numFmtId="44" fontId="29" fillId="26" borderId="2" xfId="1" applyFont="1" applyFill="1" applyBorder="1" applyAlignment="1" applyProtection="1">
      <alignment horizontal="center" vertical="center"/>
    </xf>
    <xf numFmtId="44" fontId="29" fillId="26" borderId="3" xfId="1" applyFont="1" applyFill="1" applyBorder="1" applyAlignment="1" applyProtection="1">
      <alignment horizontal="center" vertical="center"/>
    </xf>
    <xf numFmtId="44" fontId="29" fillId="26" borderId="25" xfId="1" applyFont="1" applyFill="1" applyBorder="1" applyAlignment="1" applyProtection="1">
      <alignment horizontal="center" vertical="center"/>
    </xf>
    <xf numFmtId="44" fontId="29" fillId="9" borderId="2" xfId="1" applyFont="1" applyFill="1" applyBorder="1" applyAlignment="1" applyProtection="1">
      <alignment horizontal="center" vertical="center"/>
    </xf>
    <xf numFmtId="44" fontId="29" fillId="9" borderId="3" xfId="1" applyFont="1" applyFill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17" fillId="20" borderId="6" xfId="0" applyFont="1" applyFill="1" applyBorder="1" applyAlignment="1">
      <alignment horizontal="center"/>
    </xf>
    <xf numFmtId="0" fontId="11" fillId="21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20" borderId="2" xfId="0" applyFont="1" applyFill="1" applyBorder="1" applyAlignment="1">
      <alignment horizontal="center"/>
    </xf>
    <xf numFmtId="0" fontId="11" fillId="20" borderId="3" xfId="0" applyFont="1" applyFill="1" applyBorder="1" applyAlignment="1">
      <alignment horizontal="center"/>
    </xf>
    <xf numFmtId="0" fontId="11" fillId="20" borderId="4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20" borderId="6" xfId="0" applyFont="1" applyFill="1" applyBorder="1" applyAlignment="1">
      <alignment horizontal="center"/>
    </xf>
    <xf numFmtId="4" fontId="11" fillId="21" borderId="2" xfId="0" applyNumberFormat="1" applyFont="1" applyFill="1" applyBorder="1" applyAlignment="1">
      <alignment horizontal="center"/>
    </xf>
    <xf numFmtId="4" fontId="11" fillId="21" borderId="3" xfId="0" applyNumberFormat="1" applyFont="1" applyFill="1" applyBorder="1" applyAlignment="1">
      <alignment horizontal="center"/>
    </xf>
    <xf numFmtId="4" fontId="11" fillId="21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7" fillId="0" borderId="6" xfId="0" applyFont="1" applyBorder="1" applyAlignment="1" applyProtection="1">
      <alignment horizontal="justify" vertical="center" wrapText="1"/>
    </xf>
    <xf numFmtId="165" fontId="25" fillId="13" borderId="2" xfId="0" applyNumberFormat="1" applyFont="1" applyFill="1" applyBorder="1" applyAlignment="1" applyProtection="1">
      <alignment horizontal="center" vertical="center"/>
    </xf>
    <xf numFmtId="0" fontId="25" fillId="13" borderId="3" xfId="0" applyFont="1" applyFill="1" applyBorder="1" applyAlignment="1" applyProtection="1">
      <alignment horizontal="center" vertical="center"/>
    </xf>
    <xf numFmtId="0" fontId="25" fillId="13" borderId="25" xfId="0" applyFont="1" applyFill="1" applyBorder="1" applyAlignment="1" applyProtection="1">
      <alignment horizontal="center" vertical="center"/>
    </xf>
    <xf numFmtId="169" fontId="25" fillId="13" borderId="2" xfId="0" applyNumberFormat="1" applyFont="1" applyFill="1" applyBorder="1" applyAlignment="1" applyProtection="1">
      <alignment horizontal="center" vertical="center"/>
    </xf>
    <xf numFmtId="169" fontId="25" fillId="13" borderId="3" xfId="0" applyNumberFormat="1" applyFont="1" applyFill="1" applyBorder="1" applyAlignment="1" applyProtection="1">
      <alignment horizontal="center" vertical="center"/>
    </xf>
    <xf numFmtId="169" fontId="25" fillId="13" borderId="25" xfId="0" applyNumberFormat="1" applyFont="1" applyFill="1" applyBorder="1" applyAlignment="1" applyProtection="1">
      <alignment horizontal="center" vertical="center"/>
    </xf>
    <xf numFmtId="44" fontId="29" fillId="12" borderId="6" xfId="1" applyFont="1" applyFill="1" applyBorder="1" applyAlignment="1" applyProtection="1">
      <alignment horizontal="center"/>
      <protection locked="0"/>
    </xf>
    <xf numFmtId="0" fontId="44" fillId="0" borderId="6" xfId="0" applyFont="1" applyBorder="1" applyAlignment="1" applyProtection="1">
      <alignment horizontal="center" vertical="center" wrapText="1"/>
    </xf>
    <xf numFmtId="0" fontId="44" fillId="9" borderId="25" xfId="0" applyFont="1" applyFill="1" applyBorder="1" applyAlignment="1" applyProtection="1">
      <alignment horizontal="center" vertical="center" wrapText="1"/>
    </xf>
    <xf numFmtId="0" fontId="44" fillId="31" borderId="25" xfId="0" applyFont="1" applyFill="1" applyBorder="1" applyAlignment="1" applyProtection="1">
      <alignment horizontal="center" vertical="center" wrapText="1"/>
    </xf>
    <xf numFmtId="0" fontId="45" fillId="0" borderId="6" xfId="0" applyFont="1" applyBorder="1" applyAlignment="1" applyProtection="1">
      <alignment vertical="center" wrapText="1"/>
    </xf>
    <xf numFmtId="170" fontId="45" fillId="0" borderId="6" xfId="1" applyNumberFormat="1" applyFont="1" applyBorder="1" applyAlignment="1" applyProtection="1">
      <alignment horizontal="center" vertical="center"/>
    </xf>
    <xf numFmtId="0" fontId="45" fillId="0" borderId="6" xfId="0" applyFont="1" applyFill="1" applyBorder="1" applyAlignment="1" applyProtection="1">
      <alignment vertical="center" wrapText="1"/>
    </xf>
    <xf numFmtId="0" fontId="44" fillId="0" borderId="6" xfId="0" applyFont="1" applyFill="1" applyBorder="1" applyAlignment="1" applyProtection="1">
      <alignment vertical="center" wrapText="1"/>
    </xf>
    <xf numFmtId="0" fontId="45" fillId="0" borderId="6" xfId="0" applyFont="1" applyBorder="1" applyAlignment="1" applyProtection="1">
      <alignment horizontal="center" vertical="center"/>
    </xf>
    <xf numFmtId="0" fontId="44" fillId="0" borderId="6" xfId="0" applyFont="1" applyBorder="1" applyAlignment="1" applyProtection="1">
      <alignment vertical="center" wrapText="1"/>
    </xf>
    <xf numFmtId="0" fontId="45" fillId="0" borderId="6" xfId="0" applyFont="1" applyBorder="1" applyAlignment="1" applyProtection="1">
      <alignment vertical="center"/>
    </xf>
    <xf numFmtId="164" fontId="29" fillId="12" borderId="6" xfId="0" applyNumberFormat="1" applyFont="1" applyFill="1" applyBorder="1" applyProtection="1">
      <protection locked="0"/>
    </xf>
    <xf numFmtId="164" fontId="29" fillId="12" borderId="6" xfId="0" applyNumberFormat="1" applyFont="1" applyFill="1" applyBorder="1" applyAlignment="1" applyProtection="1">
      <alignment vertical="center"/>
      <protection locked="0"/>
    </xf>
    <xf numFmtId="0" fontId="45" fillId="0" borderId="9" xfId="0" applyFont="1" applyBorder="1" applyAlignment="1" applyProtection="1">
      <alignment vertical="center" wrapText="1"/>
    </xf>
    <xf numFmtId="0" fontId="45" fillId="0" borderId="2" xfId="0" applyFont="1" applyBorder="1" applyAlignment="1" applyProtection="1">
      <alignment vertical="center" wrapText="1"/>
    </xf>
    <xf numFmtId="0" fontId="45" fillId="0" borderId="2" xfId="0" applyFont="1" applyBorder="1" applyAlignment="1" applyProtection="1">
      <alignment horizontal="left" vertical="center" wrapText="1"/>
    </xf>
    <xf numFmtId="0" fontId="45" fillId="0" borderId="2" xfId="0" applyFont="1" applyFill="1" applyBorder="1" applyAlignment="1" applyProtection="1">
      <alignment horizontal="left" vertical="center" wrapText="1"/>
    </xf>
    <xf numFmtId="170" fontId="29" fillId="12" borderId="6" xfId="0" applyNumberFormat="1" applyFont="1" applyFill="1" applyBorder="1" applyAlignment="1" applyProtection="1">
      <alignment horizontal="center" vertical="center"/>
      <protection locked="0"/>
    </xf>
    <xf numFmtId="0" fontId="45" fillId="0" borderId="6" xfId="0" applyFont="1" applyBorder="1" applyAlignment="1" applyProtection="1">
      <alignment horizontal="left" vertical="center" wrapText="1"/>
    </xf>
    <xf numFmtId="3" fontId="45" fillId="0" borderId="6" xfId="0" applyNumberFormat="1" applyFont="1" applyBorder="1" applyAlignment="1" applyProtection="1">
      <alignment horizontal="center" vertical="center"/>
    </xf>
    <xf numFmtId="0" fontId="48" fillId="0" borderId="6" xfId="0" applyFont="1" applyBorder="1" applyAlignment="1" applyProtection="1">
      <alignment horizontal="center" vertical="center"/>
    </xf>
    <xf numFmtId="0" fontId="48" fillId="26" borderId="6" xfId="0" applyFont="1" applyFill="1" applyBorder="1" applyAlignment="1" applyProtection="1">
      <alignment horizontal="center"/>
    </xf>
    <xf numFmtId="0" fontId="45" fillId="0" borderId="0" xfId="0" applyFont="1" applyProtection="1"/>
    <xf numFmtId="0" fontId="45" fillId="0" borderId="0" xfId="0" applyFont="1" applyAlignment="1" applyProtection="1">
      <alignment horizontal="center" vertical="center"/>
    </xf>
    <xf numFmtId="0" fontId="50" fillId="26" borderId="2" xfId="0" applyFont="1" applyFill="1" applyBorder="1" applyAlignment="1" applyProtection="1">
      <alignment horizontal="left" vertical="center" wrapText="1"/>
    </xf>
    <xf numFmtId="0" fontId="50" fillId="26" borderId="3" xfId="0" applyFont="1" applyFill="1" applyBorder="1" applyAlignment="1" applyProtection="1">
      <alignment horizontal="left" vertical="center" wrapText="1"/>
    </xf>
    <xf numFmtId="0" fontId="50" fillId="26" borderId="25" xfId="0" applyFont="1" applyFill="1" applyBorder="1" applyAlignment="1" applyProtection="1">
      <alignment horizontal="left" vertical="center" wrapText="1"/>
    </xf>
    <xf numFmtId="0" fontId="48" fillId="0" borderId="8" xfId="19" applyFont="1" applyBorder="1" applyAlignment="1" applyProtection="1">
      <alignment horizontal="center"/>
    </xf>
    <xf numFmtId="0" fontId="45" fillId="0" borderId="0" xfId="19" applyFont="1" applyProtection="1"/>
    <xf numFmtId="0" fontId="48" fillId="21" borderId="6" xfId="19" applyFont="1" applyFill="1" applyBorder="1" applyAlignment="1" applyProtection="1">
      <alignment horizontal="center" vertical="center"/>
    </xf>
    <xf numFmtId="0" fontId="48" fillId="21" borderId="6" xfId="19" applyFont="1" applyFill="1" applyBorder="1" applyAlignment="1" applyProtection="1">
      <alignment horizontal="left" vertical="center"/>
    </xf>
    <xf numFmtId="0" fontId="48" fillId="21" borderId="6" xfId="19" applyFont="1" applyFill="1" applyBorder="1" applyAlignment="1" applyProtection="1">
      <alignment horizontal="center" vertical="center" wrapText="1"/>
    </xf>
    <xf numFmtId="164" fontId="48" fillId="21" borderId="6" xfId="20" applyFont="1" applyFill="1" applyBorder="1" applyAlignment="1" applyProtection="1">
      <alignment horizontal="center" vertical="center" wrapText="1"/>
    </xf>
    <xf numFmtId="0" fontId="45" fillId="0" borderId="6" xfId="19" applyFont="1" applyBorder="1" applyAlignment="1" applyProtection="1">
      <alignment horizontal="center" vertical="center"/>
    </xf>
    <xf numFmtId="0" fontId="29" fillId="0" borderId="6" xfId="19" applyFont="1" applyFill="1" applyBorder="1" applyAlignment="1" applyProtection="1">
      <alignment horizontal="left" vertical="center" wrapText="1"/>
    </xf>
    <xf numFmtId="0" fontId="45" fillId="0" borderId="6" xfId="19" applyFont="1" applyBorder="1" applyAlignment="1" applyProtection="1">
      <alignment horizontal="center" vertical="center" wrapText="1"/>
    </xf>
    <xf numFmtId="0" fontId="45" fillId="0" borderId="6" xfId="19" applyFont="1" applyFill="1" applyBorder="1" applyAlignment="1" applyProtection="1">
      <alignment horizontal="center" vertical="center"/>
    </xf>
    <xf numFmtId="0" fontId="44" fillId="0" borderId="6" xfId="19" applyFont="1" applyBorder="1" applyAlignment="1" applyProtection="1">
      <alignment horizontal="center" vertical="center"/>
    </xf>
    <xf numFmtId="170" fontId="45" fillId="0" borderId="6" xfId="19" applyNumberFormat="1" applyFont="1" applyBorder="1" applyAlignment="1" applyProtection="1">
      <alignment horizontal="center" vertical="center"/>
    </xf>
    <xf numFmtId="0" fontId="45" fillId="0" borderId="6" xfId="19" applyFont="1" applyFill="1" applyBorder="1" applyAlignment="1" applyProtection="1">
      <alignment horizontal="left" vertical="center" wrapText="1"/>
    </xf>
    <xf numFmtId="0" fontId="45" fillId="0" borderId="6" xfId="19" applyFont="1" applyFill="1" applyBorder="1" applyAlignment="1" applyProtection="1">
      <alignment horizontal="center" vertical="center" wrapText="1"/>
    </xf>
    <xf numFmtId="0" fontId="45" fillId="0" borderId="6" xfId="19" applyFont="1" applyBorder="1" applyAlignment="1" applyProtection="1">
      <alignment horizontal="left" vertical="center" wrapText="1"/>
    </xf>
    <xf numFmtId="0" fontId="45" fillId="0" borderId="6" xfId="19" applyFont="1" applyBorder="1" applyAlignment="1" applyProtection="1">
      <alignment horizontal="left" vertical="center"/>
    </xf>
    <xf numFmtId="0" fontId="44" fillId="0" borderId="6" xfId="19" applyFont="1" applyBorder="1" applyAlignment="1" applyProtection="1">
      <alignment horizontal="left" vertical="center" wrapText="1"/>
    </xf>
    <xf numFmtId="0" fontId="45" fillId="0" borderId="0" xfId="19" applyFont="1" applyAlignment="1" applyProtection="1">
      <alignment horizontal="left" vertical="center"/>
    </xf>
    <xf numFmtId="0" fontId="45" fillId="0" borderId="0" xfId="19" applyFont="1" applyAlignment="1" applyProtection="1">
      <alignment horizontal="center" vertical="center" wrapText="1"/>
    </xf>
    <xf numFmtId="0" fontId="45" fillId="0" borderId="0" xfId="19" applyFont="1" applyAlignment="1" applyProtection="1">
      <alignment horizontal="center" vertical="center"/>
    </xf>
    <xf numFmtId="164" fontId="29" fillId="12" borderId="6" xfId="19" applyNumberFormat="1" applyFont="1" applyFill="1" applyBorder="1" applyAlignment="1" applyProtection="1">
      <alignment horizontal="center" vertical="center"/>
      <protection locked="0"/>
    </xf>
    <xf numFmtId="0" fontId="44" fillId="0" borderId="6" xfId="0" applyFont="1" applyFill="1" applyBorder="1" applyAlignment="1" applyProtection="1">
      <alignment horizontal="center" vertical="center" wrapText="1"/>
    </xf>
    <xf numFmtId="164" fontId="45" fillId="9" borderId="6" xfId="2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164" fontId="45" fillId="12" borderId="6" xfId="20" applyFont="1" applyFill="1" applyBorder="1" applyAlignment="1" applyProtection="1">
      <alignment horizontal="center" vertical="center"/>
      <protection locked="0"/>
    </xf>
    <xf numFmtId="0" fontId="50" fillId="0" borderId="5" xfId="0" applyFont="1" applyBorder="1" applyAlignment="1" applyProtection="1">
      <alignment horizontal="center" vertical="center" wrapText="1"/>
    </xf>
    <xf numFmtId="0" fontId="43" fillId="21" borderId="2" xfId="0" applyFont="1" applyFill="1" applyBorder="1" applyAlignment="1" applyProtection="1">
      <alignment horizontal="center" wrapText="1"/>
    </xf>
    <xf numFmtId="0" fontId="43" fillId="21" borderId="3" xfId="0" applyFont="1" applyFill="1" applyBorder="1" applyAlignment="1" applyProtection="1">
      <alignment horizontal="center" wrapText="1"/>
    </xf>
    <xf numFmtId="0" fontId="43" fillId="21" borderId="25" xfId="0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wrapText="1"/>
    </xf>
    <xf numFmtId="0" fontId="23" fillId="0" borderId="6" xfId="0" applyFont="1" applyBorder="1" applyAlignment="1" applyProtection="1">
      <alignment horizontal="center" wrapText="1"/>
    </xf>
    <xf numFmtId="0" fontId="23" fillId="0" borderId="6" xfId="0" applyFont="1" applyBorder="1" applyAlignment="1" applyProtection="1">
      <alignment horizontal="center" vertical="center" wrapText="1"/>
    </xf>
    <xf numFmtId="0" fontId="43" fillId="0" borderId="6" xfId="0" applyFont="1" applyBorder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</xf>
    <xf numFmtId="0" fontId="41" fillId="12" borderId="6" xfId="0" applyFont="1" applyFill="1" applyBorder="1" applyAlignment="1" applyProtection="1">
      <alignment horizontal="center" wrapText="1"/>
    </xf>
    <xf numFmtId="0" fontId="43" fillId="21" borderId="2" xfId="0" applyFont="1" applyFill="1" applyBorder="1" applyAlignment="1" applyProtection="1">
      <alignment horizontal="center" vertical="center" wrapText="1"/>
    </xf>
    <xf numFmtId="0" fontId="43" fillId="21" borderId="3" xfId="0" applyFont="1" applyFill="1" applyBorder="1" applyAlignment="1" applyProtection="1">
      <alignment horizontal="center" vertical="center" wrapText="1"/>
    </xf>
    <xf numFmtId="0" fontId="43" fillId="21" borderId="25" xfId="0" applyFont="1" applyFill="1" applyBorder="1" applyAlignment="1" applyProtection="1">
      <alignment horizontal="center" vertical="center" wrapText="1"/>
    </xf>
    <xf numFmtId="0" fontId="43" fillId="21" borderId="6" xfId="0" applyFont="1" applyFill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/>
    </xf>
    <xf numFmtId="0" fontId="43" fillId="0" borderId="6" xfId="0" applyFont="1" applyBorder="1" applyAlignment="1" applyProtection="1">
      <alignment horizontal="center" vertical="center"/>
    </xf>
    <xf numFmtId="0" fontId="4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  <xf numFmtId="0" fontId="41" fillId="12" borderId="6" xfId="0" applyFont="1" applyFill="1" applyBorder="1" applyAlignment="1" applyProtection="1">
      <alignment horizontal="center" vertical="center" wrapText="1"/>
    </xf>
  </cellXfs>
  <cellStyles count="58">
    <cellStyle name="Moeda" xfId="1" builtinId="4"/>
    <cellStyle name="Moeda 2" xfId="2" xr:uid="{00000000-0005-0000-0000-000001000000}"/>
    <cellStyle name="Moeda 2 2" xfId="35" xr:uid="{00000000-0005-0000-0000-000002000000}"/>
    <cellStyle name="Moeda 2 3" xfId="22" xr:uid="{00000000-0005-0000-0000-000003000000}"/>
    <cellStyle name="Moeda 2 4" xfId="47" xr:uid="{00000000-0005-0000-0000-000004000000}"/>
    <cellStyle name="Moeda 3" xfId="10" xr:uid="{00000000-0005-0000-0000-000005000000}"/>
    <cellStyle name="Moeda 3 2" xfId="38" xr:uid="{00000000-0005-0000-0000-000006000000}"/>
    <cellStyle name="Moeda 3 3" xfId="25" xr:uid="{00000000-0005-0000-0000-000007000000}"/>
    <cellStyle name="Moeda 3 4" xfId="50" xr:uid="{00000000-0005-0000-0000-000008000000}"/>
    <cellStyle name="Moeda 4" xfId="20" xr:uid="{00000000-0005-0000-0000-000009000000}"/>
    <cellStyle name="Moeda 4 2" xfId="34" xr:uid="{00000000-0005-0000-0000-00000A000000}"/>
    <cellStyle name="Moeda 5" xfId="21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Normal 4" xfId="5" xr:uid="{00000000-0005-0000-0000-00000F000000}"/>
    <cellStyle name="Normal 4 2" xfId="36" xr:uid="{00000000-0005-0000-0000-000010000000}"/>
    <cellStyle name="Normal 4 3" xfId="23" xr:uid="{00000000-0005-0000-0000-000011000000}"/>
    <cellStyle name="Normal 4 4" xfId="48" xr:uid="{00000000-0005-0000-0000-000012000000}"/>
    <cellStyle name="Normal 5" xfId="9" xr:uid="{00000000-0005-0000-0000-000013000000}"/>
    <cellStyle name="Normal 5 2" xfId="37" xr:uid="{00000000-0005-0000-0000-000014000000}"/>
    <cellStyle name="Normal 5 3" xfId="24" xr:uid="{00000000-0005-0000-0000-000015000000}"/>
    <cellStyle name="Normal 5 4" xfId="49" xr:uid="{00000000-0005-0000-0000-000016000000}"/>
    <cellStyle name="Normal 6" xfId="19" xr:uid="{00000000-0005-0000-0000-000017000000}"/>
    <cellStyle name="Porcentagem" xfId="6" builtinId="5"/>
    <cellStyle name="Porcentagem 2" xfId="7" xr:uid="{00000000-0005-0000-0000-000019000000}"/>
    <cellStyle name="Texto Explicativo 2" xfId="8" xr:uid="{00000000-0005-0000-0000-00001A000000}"/>
    <cellStyle name="Vírgula 2" xfId="11" xr:uid="{00000000-0005-0000-0000-00001B000000}"/>
    <cellStyle name="Vírgula 2 2" xfId="39" xr:uid="{00000000-0005-0000-0000-00001C000000}"/>
    <cellStyle name="Vírgula 2 3" xfId="26" xr:uid="{00000000-0005-0000-0000-00001D000000}"/>
    <cellStyle name="Vírgula 3" xfId="12" xr:uid="{00000000-0005-0000-0000-00001E000000}"/>
    <cellStyle name="Vírgula 3 2" xfId="13" xr:uid="{00000000-0005-0000-0000-00001F000000}"/>
    <cellStyle name="Vírgula 3 2 2" xfId="41" xr:uid="{00000000-0005-0000-0000-000020000000}"/>
    <cellStyle name="Vírgula 3 2 3" xfId="28" xr:uid="{00000000-0005-0000-0000-000021000000}"/>
    <cellStyle name="Vírgula 3 2 4" xfId="52" xr:uid="{00000000-0005-0000-0000-000022000000}"/>
    <cellStyle name="Vírgula 3 3" xfId="40" xr:uid="{00000000-0005-0000-0000-000023000000}"/>
    <cellStyle name="Vírgula 3 4" xfId="27" xr:uid="{00000000-0005-0000-0000-000024000000}"/>
    <cellStyle name="Vírgula 3 5" xfId="51" xr:uid="{00000000-0005-0000-0000-000025000000}"/>
    <cellStyle name="Vírgula 4" xfId="14" xr:uid="{00000000-0005-0000-0000-000026000000}"/>
    <cellStyle name="Vírgula 4 2" xfId="15" xr:uid="{00000000-0005-0000-0000-000027000000}"/>
    <cellStyle name="Vírgula 4 2 2" xfId="43" xr:uid="{00000000-0005-0000-0000-000028000000}"/>
    <cellStyle name="Vírgula 4 2 3" xfId="30" xr:uid="{00000000-0005-0000-0000-000029000000}"/>
    <cellStyle name="Vírgula 4 2 4" xfId="54" xr:uid="{00000000-0005-0000-0000-00002A000000}"/>
    <cellStyle name="Vírgula 4 3" xfId="42" xr:uid="{00000000-0005-0000-0000-00002B000000}"/>
    <cellStyle name="Vírgula 4 4" xfId="29" xr:uid="{00000000-0005-0000-0000-00002C000000}"/>
    <cellStyle name="Vírgula 4 5" xfId="53" xr:uid="{00000000-0005-0000-0000-00002D000000}"/>
    <cellStyle name="Vírgula 5" xfId="16" xr:uid="{00000000-0005-0000-0000-00002E000000}"/>
    <cellStyle name="Vírgula 5 2" xfId="17" xr:uid="{00000000-0005-0000-0000-00002F000000}"/>
    <cellStyle name="Vírgula 5 2 2" xfId="45" xr:uid="{00000000-0005-0000-0000-000030000000}"/>
    <cellStyle name="Vírgula 5 2 3" xfId="32" xr:uid="{00000000-0005-0000-0000-000031000000}"/>
    <cellStyle name="Vírgula 5 2 4" xfId="56" xr:uid="{00000000-0005-0000-0000-000032000000}"/>
    <cellStyle name="Vírgula 5 3" xfId="44" xr:uid="{00000000-0005-0000-0000-000033000000}"/>
    <cellStyle name="Vírgula 5 4" xfId="31" xr:uid="{00000000-0005-0000-0000-000034000000}"/>
    <cellStyle name="Vírgula 5 5" xfId="55" xr:uid="{00000000-0005-0000-0000-000035000000}"/>
    <cellStyle name="Vírgula 6" xfId="18" xr:uid="{00000000-0005-0000-0000-000036000000}"/>
    <cellStyle name="Vírgula 6 2" xfId="46" xr:uid="{00000000-0005-0000-0000-000037000000}"/>
    <cellStyle name="Vírgula 6 3" xfId="33" xr:uid="{00000000-0005-0000-0000-000038000000}"/>
    <cellStyle name="Vírgula 6 4" xfId="57" xr:uid="{00000000-0005-0000-0000-00003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B7CC"/>
      <rgbColor rgb="00808080"/>
      <rgbColor rgb="009999FF"/>
      <rgbColor rgb="00993366"/>
      <rgbColor rgb="00FFF2CC"/>
      <rgbColor rgb="00CCFFFF"/>
      <rgbColor rgb="00660066"/>
      <rgbColor rgb="00FF9966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D8E9CD"/>
      <rgbColor rgb="00FBE5D6"/>
      <rgbColor rgb="009DC3E6"/>
      <rgbColor rgb="00F4B183"/>
      <rgbColor rgb="00CC99FF"/>
      <rgbColor rgb="00F8CBAD"/>
      <rgbColor rgb="003366FF"/>
      <rgbColor rgb="0033CCCC"/>
      <rgbColor rgb="0099CC00"/>
      <rgbColor rgb="00FFD966"/>
      <rgbColor rgb="00FF9900"/>
      <rgbColor rgb="00FF6600"/>
      <rgbColor rgb="00A863DB"/>
      <rgbColor rgb="00A9D18E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P-GEAD_GCC/Manutencao%20Predial/XX_Termo%20de%20Refer&#234;ncia/XX_Planilha%20de%20Custo%20e%20Forma&#231;&#227;o%20de%20Pre&#231;os/03_Estimativa%20MOB%20sem%20dedicacao%20exclusi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citacoes%20e%20Contratacoes/Pregao%20Eletronico/2020/PA%202019-3214%20-%20Limpeza%20Sede%20e%20Subse&#231;&#245;es/Anexo%20IV%20-%20Planilhas%20de%20Custos%20e%20Forma&#231;&#227;o%20de%20Pre&#231;os%20-%20Ap&#243;s%20NA/Planilha%20materiais%20todas%20unidades%20corrig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e não residente_manut "/>
      <sheetName val="Equipe não residente eventual"/>
      <sheetName val="Composição"/>
      <sheetName val="Insumos"/>
    </sheetNames>
    <sheetDataSet>
      <sheetData sheetId="0" refreshError="1"/>
      <sheetData sheetId="1" refreshError="1"/>
      <sheetData sheetId="2" refreshError="1">
        <row r="2">
          <cell r="A2" t="str">
            <v>Descrição</v>
          </cell>
          <cell r="B2" t="str">
            <v>Cod. SINAP</v>
          </cell>
          <cell r="C2" t="str">
            <v>CBO</v>
          </cell>
          <cell r="D2" t="str">
            <v>Valor</v>
          </cell>
          <cell r="E2" t="str">
            <v>H/M</v>
          </cell>
          <cell r="F2" t="str">
            <v>Insumos</v>
          </cell>
          <cell r="G2" t="str">
            <v>TOTAL</v>
          </cell>
        </row>
        <row r="3">
          <cell r="A3" t="str">
            <v>Ajudante de Eletricista</v>
          </cell>
          <cell r="B3">
            <v>88247</v>
          </cell>
          <cell r="C3" t="str">
            <v>7156-15</v>
          </cell>
          <cell r="D3">
            <v>20.2</v>
          </cell>
          <cell r="E3" t="str">
            <v>Horista</v>
          </cell>
          <cell r="F3">
            <v>15.86</v>
          </cell>
          <cell r="G3">
            <v>36.06</v>
          </cell>
        </row>
        <row r="4">
          <cell r="A4" t="str">
            <v>Oficial de Manutenção</v>
          </cell>
          <cell r="B4">
            <v>88264</v>
          </cell>
          <cell r="C4" t="str">
            <v xml:space="preserve">5143-25 </v>
          </cell>
          <cell r="D4">
            <v>26.41</v>
          </cell>
          <cell r="E4" t="str">
            <v>Horista</v>
          </cell>
          <cell r="F4">
            <v>15.86</v>
          </cell>
          <cell r="G4">
            <v>42.269999999999996</v>
          </cell>
        </row>
        <row r="5">
          <cell r="A5" t="str">
            <v>Oficial Eletricista</v>
          </cell>
          <cell r="B5">
            <v>88264</v>
          </cell>
          <cell r="C5">
            <v>7156</v>
          </cell>
          <cell r="D5">
            <v>26.41</v>
          </cell>
          <cell r="E5" t="str">
            <v>Horista</v>
          </cell>
          <cell r="F5">
            <v>21.91</v>
          </cell>
          <cell r="G5">
            <v>48.32</v>
          </cell>
        </row>
        <row r="6">
          <cell r="A6" t="str">
            <v>Eletricista Industrial</v>
          </cell>
          <cell r="B6">
            <v>88265</v>
          </cell>
          <cell r="C6">
            <v>951</v>
          </cell>
          <cell r="D6">
            <v>27.46</v>
          </cell>
          <cell r="E6" t="str">
            <v>Horista</v>
          </cell>
          <cell r="F6">
            <v>22.94</v>
          </cell>
          <cell r="G6">
            <v>50.400000000000006</v>
          </cell>
        </row>
        <row r="7">
          <cell r="A7" t="str">
            <v>Auxiliar de Encanador</v>
          </cell>
          <cell r="B7">
            <v>88248</v>
          </cell>
          <cell r="C7" t="str">
            <v>7241-10</v>
          </cell>
          <cell r="D7">
            <v>19.66</v>
          </cell>
          <cell r="E7" t="str">
            <v>Horista</v>
          </cell>
          <cell r="F7">
            <v>15.52</v>
          </cell>
          <cell r="G7">
            <v>35.18</v>
          </cell>
        </row>
        <row r="8">
          <cell r="A8" t="str">
            <v>Oficial Encanador</v>
          </cell>
          <cell r="B8">
            <v>88267</v>
          </cell>
          <cell r="C8">
            <v>7241</v>
          </cell>
          <cell r="D8">
            <v>25.68</v>
          </cell>
          <cell r="E8" t="str">
            <v>Horista</v>
          </cell>
          <cell r="F8">
            <v>21.46</v>
          </cell>
          <cell r="G8">
            <v>47.14</v>
          </cell>
        </row>
        <row r="9">
          <cell r="A9" t="str">
            <v>Azulejista</v>
          </cell>
          <cell r="B9">
            <v>88256</v>
          </cell>
          <cell r="C9" t="str">
            <v>7165-10</v>
          </cell>
          <cell r="D9">
            <v>24.39</v>
          </cell>
          <cell r="E9" t="str">
            <v>Horista</v>
          </cell>
          <cell r="F9">
            <v>18.71</v>
          </cell>
          <cell r="G9">
            <v>43.1</v>
          </cell>
        </row>
        <row r="10">
          <cell r="A10" t="str">
            <v>Engenheiro Civil</v>
          </cell>
          <cell r="B10">
            <v>90779</v>
          </cell>
          <cell r="C10" t="str">
            <v>2142-05</v>
          </cell>
          <cell r="D10">
            <v>145.72</v>
          </cell>
          <cell r="E10" t="str">
            <v>Horista</v>
          </cell>
          <cell r="F10">
            <v>144.79</v>
          </cell>
          <cell r="G10">
            <v>290.51</v>
          </cell>
        </row>
        <row r="11">
          <cell r="A11" t="str">
            <v>Marceneiro</v>
          </cell>
          <cell r="B11">
            <v>88273</v>
          </cell>
          <cell r="C11" t="str">
            <v>7711-05</v>
          </cell>
          <cell r="D11">
            <v>24.29</v>
          </cell>
          <cell r="E11" t="str">
            <v>Horista</v>
          </cell>
          <cell r="F11">
            <v>18.71</v>
          </cell>
          <cell r="G11">
            <v>43</v>
          </cell>
        </row>
        <row r="12">
          <cell r="A12" t="str">
            <v>Pedreiro</v>
          </cell>
          <cell r="B12">
            <v>88309</v>
          </cell>
          <cell r="C12" t="str">
            <v>7152-10</v>
          </cell>
          <cell r="D12">
            <v>24.48</v>
          </cell>
          <cell r="E12" t="str">
            <v>Horista</v>
          </cell>
          <cell r="F12">
            <v>20.239999999999998</v>
          </cell>
          <cell r="G12">
            <v>44.72</v>
          </cell>
        </row>
        <row r="13">
          <cell r="A13" t="str">
            <v>Pintor</v>
          </cell>
          <cell r="B13">
            <v>88310</v>
          </cell>
          <cell r="C13" t="str">
            <v>7233-10</v>
          </cell>
          <cell r="D13">
            <v>28.17</v>
          </cell>
          <cell r="E13" t="str">
            <v>Horista</v>
          </cell>
          <cell r="F13">
            <v>23.990000000000002</v>
          </cell>
          <cell r="G13">
            <v>52.160000000000004</v>
          </cell>
        </row>
        <row r="14">
          <cell r="A14" t="str">
            <v>Técnico de cabeamento estruturado</v>
          </cell>
          <cell r="B14">
            <v>88266</v>
          </cell>
          <cell r="C14" t="str">
            <v>7313-25</v>
          </cell>
          <cell r="D14">
            <v>35.21</v>
          </cell>
          <cell r="E14" t="str">
            <v>Horista</v>
          </cell>
          <cell r="F14">
            <v>0</v>
          </cell>
          <cell r="G14">
            <v>35.21</v>
          </cell>
        </row>
        <row r="15">
          <cell r="A15" t="str">
            <v>Técnico de manutenção eletrônica/eletrotécnico</v>
          </cell>
          <cell r="B15">
            <v>88266</v>
          </cell>
          <cell r="C15" t="str">
            <v>3132-05</v>
          </cell>
          <cell r="D15">
            <v>35.21</v>
          </cell>
          <cell r="E15" t="str">
            <v>Horista</v>
          </cell>
          <cell r="F15">
            <v>0</v>
          </cell>
          <cell r="G15">
            <v>35.21</v>
          </cell>
        </row>
        <row r="16">
          <cell r="A16" t="str">
            <v>Telhadista/Telhador</v>
          </cell>
          <cell r="B16">
            <v>88323</v>
          </cell>
          <cell r="C16" t="str">
            <v>7652-35</v>
          </cell>
          <cell r="D16">
            <v>23.87</v>
          </cell>
          <cell r="E16" t="str">
            <v>Horista</v>
          </cell>
          <cell r="F16">
            <v>18.329999999999998</v>
          </cell>
          <cell r="G16">
            <v>42.2</v>
          </cell>
        </row>
        <row r="17">
          <cell r="A17" t="str">
            <v>Serralheiro</v>
          </cell>
          <cell r="B17">
            <v>88315</v>
          </cell>
          <cell r="C17" t="str">
            <v>7244-40</v>
          </cell>
          <cell r="D17">
            <v>24.35</v>
          </cell>
          <cell r="E17" t="str">
            <v>Horista</v>
          </cell>
          <cell r="F17">
            <v>18.71</v>
          </cell>
          <cell r="G17">
            <v>43.06</v>
          </cell>
        </row>
        <row r="18">
          <cell r="A18" t="str">
            <v>Mecânico manutenção, instalação de aparelho climatização/refrigeração</v>
          </cell>
          <cell r="B18">
            <v>100308</v>
          </cell>
          <cell r="C18" t="str">
            <v>9112-5</v>
          </cell>
          <cell r="D18">
            <v>27.97</v>
          </cell>
          <cell r="E18" t="str">
            <v>Horista</v>
          </cell>
          <cell r="F18">
            <v>22.05</v>
          </cell>
          <cell r="G18">
            <v>50.019999999999996</v>
          </cell>
        </row>
        <row r="19">
          <cell r="A19" t="str">
            <v>Jardineiro</v>
          </cell>
          <cell r="B19">
            <v>88441</v>
          </cell>
          <cell r="C19" t="str">
            <v>6220-20</v>
          </cell>
          <cell r="D19">
            <v>23.64</v>
          </cell>
          <cell r="E19" t="str">
            <v>Horista</v>
          </cell>
          <cell r="F19">
            <v>18.09</v>
          </cell>
          <cell r="G19">
            <v>41.730000000000004</v>
          </cell>
        </row>
        <row r="20">
          <cell r="A20" t="str">
            <v>Encarregado geral</v>
          </cell>
          <cell r="B20">
            <v>90776</v>
          </cell>
          <cell r="C20" t="str">
            <v>7102-05</v>
          </cell>
          <cell r="D20">
            <v>34.74</v>
          </cell>
          <cell r="E20" t="str">
            <v>Horista</v>
          </cell>
          <cell r="F20">
            <v>33.639999999999993</v>
          </cell>
          <cell r="G20">
            <v>68.38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de Referencia"/>
      <sheetName val="Custo Total"/>
      <sheetName val="Sede"/>
      <sheetName val="Educacao"/>
      <sheetName val="Aracatuba"/>
      <sheetName val="Barretos"/>
      <sheetName val="Botucatu"/>
      <sheetName val="Campinas"/>
      <sheetName val="Guarulhos"/>
      <sheetName val="Itapetininga"/>
      <sheetName val="Marília"/>
      <sheetName val="Osasco"/>
      <sheetName val="Prudente"/>
      <sheetName val="Rib Preto"/>
      <sheetName val="Sto André"/>
      <sheetName val="Santos"/>
      <sheetName val="S J Campos"/>
      <sheetName val="S J Rio Preto"/>
      <sheetName val="Registro_Sorocaba"/>
      <sheetName val="Sto Amaro"/>
      <sheetName val="Plan1"/>
    </sheetNames>
    <sheetDataSet>
      <sheetData sheetId="0">
        <row r="11">
          <cell r="A11" t="str">
            <v>ESPECIFICAÇÃO</v>
          </cell>
          <cell r="B11"/>
          <cell r="C11" t="str">
            <v>Unidade</v>
          </cell>
          <cell r="D11" t="str">
            <v>*Reposição  a cada quantos MESES?</v>
          </cell>
          <cell r="E11" t="str">
            <v>Preço unitário (1)</v>
          </cell>
          <cell r="F11" t="str">
            <v>Preço unitário (2)</v>
          </cell>
          <cell r="G11" t="str">
            <v>Preço unitário (3)</v>
          </cell>
          <cell r="H11" t="str">
            <v>Preço unitário (4)</v>
          </cell>
          <cell r="I11" t="str">
            <v>Preço unitário (5)</v>
          </cell>
          <cell r="J11" t="str">
            <v>Preço Unitário (6)</v>
          </cell>
          <cell r="K11" t="str">
            <v>Preço Unitário (7)</v>
          </cell>
          <cell r="L11" t="str">
            <v>Preço Unitário (8)</v>
          </cell>
          <cell r="M11" t="str">
            <v>Preço Unitário (9)</v>
          </cell>
          <cell r="N11" t="str">
            <v>Preço Unitário (10)</v>
          </cell>
          <cell r="O11" t="str">
            <v>Preço Unitário (11)</v>
          </cell>
          <cell r="P11" t="str">
            <v>Preço Unitário (12)</v>
          </cell>
          <cell r="Q11" t="str">
            <v>Preço Unitário (13)</v>
          </cell>
          <cell r="R11" t="str">
            <v>Preço Unitário (14)</v>
          </cell>
          <cell r="S11" t="str">
            <v>Preço Unitário (15)</v>
          </cell>
          <cell r="T11" t="str">
            <v>Preço Unitário (16)</v>
          </cell>
          <cell r="U11" t="str">
            <v>Preço Unitário (17)</v>
          </cell>
          <cell r="V11" t="str">
            <v>Preço Unitário (18)</v>
          </cell>
          <cell r="W11" t="str">
            <v>Preço Unitário (19)</v>
          </cell>
          <cell r="X11" t="str">
            <v>Preço Unitário (20)</v>
          </cell>
          <cell r="Y11" t="str">
            <v>Preço Unitário (21)</v>
          </cell>
          <cell r="Z11" t="str">
            <v>Preço Unitário (22)</v>
          </cell>
          <cell r="AA11" t="str">
            <v>Preço Unitário (23)</v>
          </cell>
          <cell r="AB11" t="str">
            <v>Preço Unitário (24)</v>
          </cell>
          <cell r="AC11" t="str">
            <v>Preço Unitário (25)</v>
          </cell>
          <cell r="AD11" t="str">
            <v>Preço Unitário (26)</v>
          </cell>
          <cell r="AE11" t="str">
            <v>Preço Unitário (27)</v>
          </cell>
          <cell r="AF11" t="str">
            <v>Preço Unitário (28)</v>
          </cell>
          <cell r="AG11" t="str">
            <v>Preço Unitário (29)</v>
          </cell>
          <cell r="AH11" t="str">
            <v>Preço Unitário (30)</v>
          </cell>
          <cell r="AI11" t="str">
            <v>Preço Unitário (31)</v>
          </cell>
          <cell r="AJ11" t="str">
            <v>Preço Unitário (32)</v>
          </cell>
          <cell r="AK11" t="str">
            <v>Preço Unitário (33)</v>
          </cell>
          <cell r="AL11" t="str">
            <v>Preço Unitário (34)</v>
          </cell>
          <cell r="AM11" t="str">
            <v>Preço Unitário (35)</v>
          </cell>
          <cell r="AN11" t="str">
            <v>Preço Unitário (36)</v>
          </cell>
          <cell r="AO11" t="str">
            <v>Preço Unitário (37)</v>
          </cell>
          <cell r="AP11" t="str">
            <v>Preço Unitário (38)</v>
          </cell>
          <cell r="AQ11" t="str">
            <v>Preço Unitário (39)</v>
          </cell>
          <cell r="AR11" t="str">
            <v>Preço mediano</v>
          </cell>
          <cell r="AS11" t="str">
            <v>Preço unitário (média simples)</v>
          </cell>
          <cell r="AT11" t="str">
            <v>Preço unitário médio (desconsiderando 30% de variação para +/- )</v>
          </cell>
        </row>
        <row r="12">
          <cell r="A12" t="str">
            <v>Aspirador de pó e água, Material: tanque em aço inox, Capacidade 20 litros, tensão alimentação 220 v, características adicionais: bocais, prolongador e filtro. Potência 1.400 w.</v>
          </cell>
          <cell r="B12"/>
          <cell r="C12" t="str">
            <v>Unidade</v>
          </cell>
          <cell r="D12">
            <v>60</v>
          </cell>
          <cell r="E12"/>
          <cell r="F12">
            <v>800</v>
          </cell>
          <cell r="G12">
            <v>200</v>
          </cell>
          <cell r="H12">
            <v>250</v>
          </cell>
          <cell r="I12">
            <v>170</v>
          </cell>
          <cell r="J12">
            <v>1239</v>
          </cell>
          <cell r="K12"/>
          <cell r="L12">
            <v>150</v>
          </cell>
          <cell r="M12">
            <v>300</v>
          </cell>
          <cell r="N12">
            <v>170.91</v>
          </cell>
          <cell r="O12">
            <v>400</v>
          </cell>
          <cell r="P12">
            <v>300</v>
          </cell>
          <cell r="Q12">
            <v>467.15</v>
          </cell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>
            <v>300</v>
          </cell>
          <cell r="AS12">
            <v>404.27818181818179</v>
          </cell>
          <cell r="AT12">
            <v>283.33333333333331</v>
          </cell>
        </row>
        <row r="13">
          <cell r="A13" t="str">
            <v>Balde plástico de 10 litros</v>
          </cell>
          <cell r="B13"/>
          <cell r="C13" t="str">
            <v>Unidade</v>
          </cell>
          <cell r="D13">
            <v>4</v>
          </cell>
          <cell r="E13">
            <v>7.55</v>
          </cell>
          <cell r="F13">
            <v>8.6</v>
          </cell>
          <cell r="G13">
            <v>14.27</v>
          </cell>
          <cell r="H13">
            <v>11.5</v>
          </cell>
          <cell r="I13"/>
          <cell r="J13"/>
          <cell r="K13">
            <v>4.8899999999999997</v>
          </cell>
          <cell r="L13">
            <v>3.5</v>
          </cell>
          <cell r="M13">
            <v>5</v>
          </cell>
          <cell r="N13">
            <v>12.63</v>
          </cell>
          <cell r="O13"/>
          <cell r="P13">
            <v>3.66</v>
          </cell>
          <cell r="Q13">
            <v>7.55</v>
          </cell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>
            <v>7.55</v>
          </cell>
          <cell r="AS13">
            <v>7.9149999999999991</v>
          </cell>
          <cell r="AT13">
            <v>7.8999999999999995</v>
          </cell>
        </row>
        <row r="14">
          <cell r="A14" t="str">
            <v>Balde plástico de 5 litros</v>
          </cell>
          <cell r="B14"/>
          <cell r="C14" t="str">
            <v>Unidade</v>
          </cell>
          <cell r="D14">
            <v>4</v>
          </cell>
          <cell r="E14">
            <v>8.5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>
            <v>8.5</v>
          </cell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>
            <v>6.41</v>
          </cell>
          <cell r="AR14">
            <v>8.5</v>
          </cell>
          <cell r="AS14">
            <v>7.8033333333333337</v>
          </cell>
          <cell r="AT14">
            <v>7.8033333333333337</v>
          </cell>
        </row>
        <row r="15">
          <cell r="A15" t="str">
            <v>Cone 75cm</v>
          </cell>
          <cell r="B15"/>
          <cell r="C15" t="str">
            <v>Unidade</v>
          </cell>
          <cell r="D15">
            <v>60</v>
          </cell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>
            <v>37.47</v>
          </cell>
          <cell r="AR15">
            <v>37.47</v>
          </cell>
          <cell r="AS15">
            <v>37.47</v>
          </cell>
          <cell r="AT15">
            <v>37.47</v>
          </cell>
        </row>
        <row r="16">
          <cell r="A16" t="str">
            <v>Enceradeira industrial</v>
          </cell>
          <cell r="B16"/>
          <cell r="C16" t="str">
            <v>Unidade</v>
          </cell>
          <cell r="D16">
            <v>60</v>
          </cell>
          <cell r="E16"/>
          <cell r="F16"/>
          <cell r="G16">
            <v>1219.8699999999999</v>
          </cell>
          <cell r="H16"/>
          <cell r="I16"/>
          <cell r="J16"/>
          <cell r="K16">
            <v>1199</v>
          </cell>
          <cell r="L16">
            <v>750</v>
          </cell>
          <cell r="M16"/>
          <cell r="N16">
            <v>1168</v>
          </cell>
          <cell r="O16">
            <v>1050</v>
          </cell>
          <cell r="P16"/>
          <cell r="Q16">
            <v>970</v>
          </cell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>
            <v>1109</v>
          </cell>
          <cell r="AS16">
            <v>1059.4783333333332</v>
          </cell>
          <cell r="AT16">
            <v>1121.374</v>
          </cell>
        </row>
        <row r="17">
          <cell r="A17" t="str">
            <v>Escada de aço/alumínio 7 degraus</v>
          </cell>
          <cell r="B17"/>
          <cell r="C17" t="str">
            <v>Unidade</v>
          </cell>
          <cell r="D17">
            <v>24</v>
          </cell>
          <cell r="E17"/>
          <cell r="F17"/>
          <cell r="G17">
            <v>331</v>
          </cell>
          <cell r="H17"/>
          <cell r="I17"/>
          <cell r="J17">
            <v>120</v>
          </cell>
          <cell r="K17">
            <v>150</v>
          </cell>
          <cell r="L17">
            <v>57.5</v>
          </cell>
          <cell r="M17"/>
          <cell r="N17">
            <v>197.05</v>
          </cell>
          <cell r="O17">
            <v>180</v>
          </cell>
          <cell r="P17">
            <v>50</v>
          </cell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>
            <v>150</v>
          </cell>
          <cell r="AS17">
            <v>155.07857142857142</v>
          </cell>
          <cell r="AT17">
            <v>150</v>
          </cell>
        </row>
        <row r="18">
          <cell r="A18" t="str">
            <v>Escada alumínio, 3 degraus com banqueta</v>
          </cell>
          <cell r="B18"/>
          <cell r="C18" t="str">
            <v>Unidade</v>
          </cell>
          <cell r="D18">
            <v>24</v>
          </cell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>
            <v>93.09</v>
          </cell>
          <cell r="AR18">
            <v>93.09</v>
          </cell>
          <cell r="AS18">
            <v>93.09</v>
          </cell>
          <cell r="AT18">
            <v>93.09</v>
          </cell>
        </row>
        <row r="19">
          <cell r="A19" t="str">
            <v xml:space="preserve">Escada alumínio, 4  degraus </v>
          </cell>
          <cell r="B19"/>
          <cell r="C19" t="str">
            <v>Unidade</v>
          </cell>
          <cell r="D19">
            <v>24</v>
          </cell>
          <cell r="E19">
            <v>198</v>
          </cell>
          <cell r="F19">
            <v>96</v>
          </cell>
          <cell r="G19"/>
          <cell r="H19"/>
          <cell r="I19"/>
          <cell r="J19"/>
          <cell r="K19"/>
          <cell r="L19"/>
          <cell r="M19"/>
          <cell r="N19">
            <v>97.9</v>
          </cell>
          <cell r="O19"/>
          <cell r="P19"/>
          <cell r="Q19">
            <v>128.97999999999999</v>
          </cell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>
            <v>113.44</v>
          </cell>
          <cell r="AS19">
            <v>130.22</v>
          </cell>
          <cell r="AT19">
            <v>107.62666666666667</v>
          </cell>
        </row>
        <row r="20">
          <cell r="A20" t="str">
            <v>Espanador Sintético longo</v>
          </cell>
          <cell r="B20"/>
          <cell r="C20" t="str">
            <v>Unidade</v>
          </cell>
          <cell r="D20">
            <v>6</v>
          </cell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>
            <v>11.86</v>
          </cell>
          <cell r="AR20">
            <v>11.86</v>
          </cell>
          <cell r="AS20">
            <v>11.86</v>
          </cell>
          <cell r="AT20">
            <v>11.86</v>
          </cell>
        </row>
        <row r="21">
          <cell r="A21" t="str">
            <v>Extensão Elétrica, 30 metros</v>
          </cell>
          <cell r="B21"/>
          <cell r="C21" t="str">
            <v>Unidade</v>
          </cell>
          <cell r="D21">
            <v>12</v>
          </cell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>
            <v>82.36</v>
          </cell>
          <cell r="AR21">
            <v>82.36</v>
          </cell>
          <cell r="AS21">
            <v>82.36</v>
          </cell>
          <cell r="AT21">
            <v>82.36</v>
          </cell>
        </row>
        <row r="22">
          <cell r="A22" t="str">
            <v>Extensão Elétrica, 40 metros</v>
          </cell>
          <cell r="B22"/>
          <cell r="C22" t="str">
            <v>Unidade</v>
          </cell>
          <cell r="D22">
            <v>12</v>
          </cell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>
            <v>47.69</v>
          </cell>
          <cell r="AR22">
            <v>47.69</v>
          </cell>
          <cell r="AS22">
            <v>47.69</v>
          </cell>
          <cell r="AT22">
            <v>47.69</v>
          </cell>
        </row>
        <row r="23">
          <cell r="A23" t="str">
            <v>Kit limpeza pesada (suporte LT)</v>
          </cell>
          <cell r="B23"/>
          <cell r="C23" t="str">
            <v>Unidade</v>
          </cell>
          <cell r="D23">
            <v>6</v>
          </cell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>
            <v>22.32</v>
          </cell>
          <cell r="AR23">
            <v>22.32</v>
          </cell>
          <cell r="AS23">
            <v>22.32</v>
          </cell>
          <cell r="AT23">
            <v>22.32</v>
          </cell>
        </row>
        <row r="24">
          <cell r="A24" t="str">
            <v>Lavadora de alta pressão, com  mangueira longa</v>
          </cell>
          <cell r="B24"/>
          <cell r="C24" t="str">
            <v>máquina jateadora</v>
          </cell>
          <cell r="D24">
            <v>60</v>
          </cell>
          <cell r="E24"/>
          <cell r="F24"/>
          <cell r="G24">
            <v>869.61</v>
          </cell>
          <cell r="H24"/>
          <cell r="I24"/>
          <cell r="J24">
            <v>350</v>
          </cell>
          <cell r="K24">
            <v>289</v>
          </cell>
          <cell r="L24">
            <v>190</v>
          </cell>
          <cell r="M24">
            <v>280</v>
          </cell>
          <cell r="N24"/>
          <cell r="O24">
            <v>1050</v>
          </cell>
          <cell r="P24"/>
          <cell r="Q24">
            <v>536</v>
          </cell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>
            <v>350</v>
          </cell>
          <cell r="AS24">
            <v>509.23</v>
          </cell>
          <cell r="AT24">
            <v>306.33333333333331</v>
          </cell>
        </row>
        <row r="25">
          <cell r="A25" t="str">
            <v>Lavadora tanquinho</v>
          </cell>
          <cell r="B25"/>
          <cell r="C25" t="str">
            <v>Unidade</v>
          </cell>
          <cell r="D25">
            <v>60</v>
          </cell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>
            <v>448.94</v>
          </cell>
          <cell r="AR25">
            <v>448.94</v>
          </cell>
          <cell r="AS25">
            <v>448.94</v>
          </cell>
          <cell r="AT25">
            <v>448.94</v>
          </cell>
        </row>
        <row r="26">
          <cell r="A26" t="str">
            <v>Mangueira 20 metros esguicho</v>
          </cell>
          <cell r="B26"/>
          <cell r="C26" t="str">
            <v>Unidade</v>
          </cell>
          <cell r="D26">
            <v>12</v>
          </cell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>
            <v>26.53</v>
          </cell>
          <cell r="AR26">
            <v>26.53</v>
          </cell>
          <cell r="AS26">
            <v>26.53</v>
          </cell>
          <cell r="AT26">
            <v>26.53</v>
          </cell>
        </row>
        <row r="27">
          <cell r="A27" t="str">
            <v>Mangueira 60 metros esguicho</v>
          </cell>
          <cell r="B27"/>
          <cell r="C27" t="str">
            <v>Unidade</v>
          </cell>
          <cell r="D27">
            <v>12</v>
          </cell>
          <cell r="E27">
            <v>120</v>
          </cell>
          <cell r="F27">
            <v>110</v>
          </cell>
          <cell r="G27"/>
          <cell r="H27"/>
          <cell r="I27"/>
          <cell r="J27">
            <v>80</v>
          </cell>
          <cell r="K27">
            <v>59.22</v>
          </cell>
          <cell r="L27"/>
          <cell r="M27">
            <v>40</v>
          </cell>
          <cell r="N27">
            <v>195</v>
          </cell>
          <cell r="O27">
            <v>55</v>
          </cell>
          <cell r="P27"/>
          <cell r="Q27">
            <v>91.12</v>
          </cell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>
            <v>85.56</v>
          </cell>
          <cell r="AS27">
            <v>93.792500000000004</v>
          </cell>
          <cell r="AT27">
            <v>93.706666666666663</v>
          </cell>
        </row>
        <row r="28">
          <cell r="A28" t="str">
            <v>Pá coletora de lixo. Material coletor de poliestireno. Com cabo de madeira de 80 cm.</v>
          </cell>
          <cell r="B28"/>
          <cell r="C28" t="str">
            <v>Unidade</v>
          </cell>
          <cell r="D28">
            <v>6</v>
          </cell>
          <cell r="E28">
            <v>7.55</v>
          </cell>
          <cell r="F28">
            <v>7.2</v>
          </cell>
          <cell r="G28">
            <v>7.85</v>
          </cell>
          <cell r="H28">
            <v>3.4</v>
          </cell>
          <cell r="I28"/>
          <cell r="J28">
            <v>22</v>
          </cell>
          <cell r="K28">
            <v>4.25</v>
          </cell>
          <cell r="L28">
            <v>2.5</v>
          </cell>
          <cell r="M28"/>
          <cell r="N28">
            <v>31.36</v>
          </cell>
          <cell r="O28">
            <v>13</v>
          </cell>
          <cell r="P28">
            <v>2.25</v>
          </cell>
          <cell r="Q28">
            <v>7.55</v>
          </cell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>
            <v>7.55</v>
          </cell>
          <cell r="AS28">
            <v>9.9009090909090904</v>
          </cell>
          <cell r="AT28">
            <v>7.5375000000000005</v>
          </cell>
        </row>
        <row r="29">
          <cell r="A29" t="str">
            <v>Pincel chato, nº 16 para limpeza de teclado</v>
          </cell>
          <cell r="B29"/>
          <cell r="C29" t="str">
            <v>Unidade</v>
          </cell>
          <cell r="D29">
            <v>6</v>
          </cell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>
            <v>2.65</v>
          </cell>
          <cell r="AR29">
            <v>2.65</v>
          </cell>
          <cell r="AS29">
            <v>2.65</v>
          </cell>
          <cell r="AT29">
            <v>2.65</v>
          </cell>
        </row>
        <row r="30">
          <cell r="A30" t="str">
            <v>Placas sinalizadoras "Piso Molhado"</v>
          </cell>
          <cell r="B30"/>
          <cell r="C30" t="str">
            <v>Unidade</v>
          </cell>
          <cell r="D30">
            <v>24</v>
          </cell>
          <cell r="E30"/>
          <cell r="F30"/>
          <cell r="G30">
            <v>48.95</v>
          </cell>
          <cell r="H30">
            <v>35</v>
          </cell>
          <cell r="I30"/>
          <cell r="J30">
            <v>33</v>
          </cell>
          <cell r="K30">
            <v>28.53</v>
          </cell>
          <cell r="L30">
            <v>15</v>
          </cell>
          <cell r="M30">
            <v>28</v>
          </cell>
          <cell r="N30">
            <v>29.9</v>
          </cell>
          <cell r="O30"/>
          <cell r="P30"/>
          <cell r="Q30">
            <v>32.79</v>
          </cell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>
            <v>31.344999999999999</v>
          </cell>
          <cell r="AS30">
            <v>31.396250000000002</v>
          </cell>
          <cell r="AT30">
            <v>31.203333333333333</v>
          </cell>
        </row>
        <row r="31">
          <cell r="A31" t="str">
            <v>Suporte com velcro para enceradeira sem flange (semestral)</v>
          </cell>
          <cell r="B31"/>
          <cell r="C31" t="str">
            <v>Unidade</v>
          </cell>
          <cell r="D31">
            <v>6</v>
          </cell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>
            <v>49.9</v>
          </cell>
          <cell r="S31">
            <v>36.72</v>
          </cell>
          <cell r="T31">
            <v>47.99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>
            <v>47.99</v>
          </cell>
          <cell r="AS31">
            <v>44.870000000000005</v>
          </cell>
          <cell r="AT31">
            <v>44.870000000000005</v>
          </cell>
        </row>
        <row r="32">
          <cell r="A32" t="str">
            <v>Rodo específico para limpeza de vidros</v>
          </cell>
          <cell r="B32"/>
          <cell r="C32" t="str">
            <v>Unidade medindo no mínimo 40cm</v>
          </cell>
          <cell r="D32">
            <v>12</v>
          </cell>
          <cell r="E32"/>
          <cell r="F32">
            <v>5.33</v>
          </cell>
          <cell r="G32"/>
          <cell r="H32"/>
          <cell r="I32"/>
          <cell r="J32">
            <v>80</v>
          </cell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>
            <v>18.62</v>
          </cell>
          <cell r="AR32">
            <v>18.62</v>
          </cell>
          <cell r="AS32">
            <v>34.65</v>
          </cell>
          <cell r="AT32">
            <v>18.62</v>
          </cell>
        </row>
        <row r="33">
          <cell r="A33" t="str">
            <v>Rodo com 2 borrachas - 40cm de largura, com cabo</v>
          </cell>
          <cell r="B33"/>
          <cell r="C33" t="str">
            <v>Unidade</v>
          </cell>
          <cell r="D33">
            <v>2</v>
          </cell>
          <cell r="E33">
            <v>17.8</v>
          </cell>
          <cell r="F33">
            <v>9.8000000000000007</v>
          </cell>
          <cell r="G33"/>
          <cell r="H33">
            <v>3</v>
          </cell>
          <cell r="I33"/>
          <cell r="J33">
            <v>12</v>
          </cell>
          <cell r="K33">
            <v>7.89</v>
          </cell>
          <cell r="L33">
            <v>2.5</v>
          </cell>
          <cell r="M33">
            <v>6</v>
          </cell>
          <cell r="N33">
            <v>6.77</v>
          </cell>
          <cell r="O33">
            <v>4.51</v>
          </cell>
          <cell r="P33">
            <v>5.04</v>
          </cell>
          <cell r="Q33">
            <v>17.8</v>
          </cell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>
            <v>6.77</v>
          </cell>
          <cell r="AS33">
            <v>8.4645454545454566</v>
          </cell>
          <cell r="AT33">
            <v>6.4249999999999998</v>
          </cell>
        </row>
        <row r="34">
          <cell r="A34" t="str">
            <v>Vassoura para limpeza de teto</v>
          </cell>
          <cell r="B34"/>
          <cell r="C34" t="str">
            <v>Unidade</v>
          </cell>
          <cell r="D34">
            <v>6</v>
          </cell>
          <cell r="E34"/>
          <cell r="F34">
            <v>10.8</v>
          </cell>
          <cell r="G34">
            <v>15.22</v>
          </cell>
          <cell r="H34">
            <v>13.2</v>
          </cell>
          <cell r="I34"/>
          <cell r="J34"/>
          <cell r="K34">
            <v>6.89</v>
          </cell>
          <cell r="L34">
            <v>4.8</v>
          </cell>
          <cell r="M34">
            <v>6</v>
          </cell>
          <cell r="N34"/>
          <cell r="O34">
            <v>11.07</v>
          </cell>
          <cell r="P34"/>
          <cell r="Q34">
            <v>17.649999999999999</v>
          </cell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>
            <v>10.935</v>
          </cell>
          <cell r="AS34">
            <v>10.703749999999999</v>
          </cell>
          <cell r="AT34">
            <v>11.69</v>
          </cell>
        </row>
        <row r="35">
          <cell r="A35" t="str">
            <v>Vassoura Nylon</v>
          </cell>
          <cell r="B35"/>
          <cell r="C35" t="str">
            <v>Unidade</v>
          </cell>
          <cell r="D35">
            <v>4</v>
          </cell>
          <cell r="E35"/>
          <cell r="F35"/>
          <cell r="G35">
            <v>10.27</v>
          </cell>
          <cell r="H35"/>
          <cell r="I35"/>
          <cell r="J35"/>
          <cell r="K35">
            <v>3.73</v>
          </cell>
          <cell r="L35"/>
          <cell r="M35">
            <v>6</v>
          </cell>
          <cell r="N35"/>
          <cell r="O35">
            <v>3.79</v>
          </cell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>
            <v>4.8949999999999996</v>
          </cell>
          <cell r="AS35">
            <v>5.9474999999999998</v>
          </cell>
          <cell r="AT35">
            <v>4.5066666666666668</v>
          </cell>
        </row>
        <row r="36">
          <cell r="A36" t="str">
            <v>Vassoura Sanitária</v>
          </cell>
          <cell r="B36"/>
          <cell r="C36" t="str">
            <v>Unidade</v>
          </cell>
          <cell r="D36">
            <v>4</v>
          </cell>
          <cell r="E36"/>
          <cell r="F36">
            <v>3.6</v>
          </cell>
          <cell r="G36">
            <v>10</v>
          </cell>
          <cell r="H36">
            <v>3</v>
          </cell>
          <cell r="I36"/>
          <cell r="J36">
            <v>4.4400000000000004</v>
          </cell>
          <cell r="K36">
            <v>1.89</v>
          </cell>
          <cell r="L36">
            <v>1.5</v>
          </cell>
          <cell r="M36">
            <v>2</v>
          </cell>
          <cell r="N36">
            <v>3.5</v>
          </cell>
          <cell r="O36">
            <v>3.13</v>
          </cell>
          <cell r="P36">
            <v>6.6</v>
          </cell>
          <cell r="Q36">
            <v>3.28</v>
          </cell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>
            <v>3.28</v>
          </cell>
          <cell r="AS36">
            <v>3.9036363636363642</v>
          </cell>
          <cell r="AT36">
            <v>3.3020000000000005</v>
          </cell>
        </row>
        <row r="37">
          <cell r="A37" t="str">
            <v>Vassoura de pelo com 40cm de largura, com cabo</v>
          </cell>
          <cell r="B37"/>
          <cell r="C37" t="str">
            <v>Unidade</v>
          </cell>
          <cell r="D37">
            <v>3</v>
          </cell>
          <cell r="E37"/>
          <cell r="F37"/>
          <cell r="G37"/>
          <cell r="H37"/>
          <cell r="I37"/>
          <cell r="J37"/>
          <cell r="K37"/>
          <cell r="L37"/>
          <cell r="M37">
            <v>6.2</v>
          </cell>
          <cell r="N37"/>
          <cell r="O37"/>
          <cell r="P37">
            <v>6.59</v>
          </cell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>
            <v>8.3800000000000008</v>
          </cell>
          <cell r="AR37">
            <v>6.59</v>
          </cell>
          <cell r="AS37">
            <v>7.0566666666666675</v>
          </cell>
          <cell r="AT37">
            <v>7.0566666666666675</v>
          </cell>
        </row>
        <row r="38">
          <cell r="A38" t="str">
            <v>* Tempo de resposição estimado com base em outros editais da Administração Pública e histórico de contratações anteriores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</row>
        <row r="39">
          <cell r="A39" t="str">
            <v>MATERIAIS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/>
          <cell r="AO39"/>
          <cell r="AP39"/>
          <cell r="AQ39"/>
          <cell r="AR39"/>
          <cell r="AS39"/>
          <cell r="AT39"/>
        </row>
        <row r="40">
          <cell r="A40" t="str">
            <v>ESPECIFICAÇÃO</v>
          </cell>
          <cell r="B40" t="str">
            <v>MARCA DE REFERÊNCIA</v>
          </cell>
          <cell r="C40" t="str">
            <v>Unidade</v>
          </cell>
          <cell r="D40" t="str">
            <v>*Reposição  a cada quantos MESES?</v>
          </cell>
          <cell r="E40" t="str">
            <v>Preço unitário (1)</v>
          </cell>
          <cell r="F40" t="str">
            <v>Preço unitário (2)</v>
          </cell>
          <cell r="G40" t="str">
            <v>Preço unitário (3)</v>
          </cell>
          <cell r="H40" t="str">
            <v>Preço unitário (4)</v>
          </cell>
          <cell r="I40" t="str">
            <v>Preço unitário (5)</v>
          </cell>
          <cell r="J40" t="str">
            <v>Preço Unitário (6)</v>
          </cell>
          <cell r="K40" t="str">
            <v>Preço Unitário (7)</v>
          </cell>
          <cell r="L40" t="str">
            <v>Preço Unitário (8)</v>
          </cell>
          <cell r="M40" t="str">
            <v>Preço Unitário (9)</v>
          </cell>
          <cell r="N40" t="str">
            <v>Preço Unitário (10)</v>
          </cell>
          <cell r="O40" t="str">
            <v>Preço Unitário (11)</v>
          </cell>
          <cell r="P40" t="str">
            <v>Preço Unitário (12)</v>
          </cell>
          <cell r="Q40" t="str">
            <v>Preço Unitário (13)</v>
          </cell>
          <cell r="R40" t="str">
            <v>Preço Unitário (14)</v>
          </cell>
          <cell r="S40" t="str">
            <v>Preço Unitário (15)</v>
          </cell>
          <cell r="T40" t="str">
            <v>Preço Unitário (16)</v>
          </cell>
          <cell r="U40" t="str">
            <v>Preço Unitário (17)</v>
          </cell>
          <cell r="V40" t="str">
            <v>Preço Unitário (18)</v>
          </cell>
          <cell r="W40" t="str">
            <v>Preço Unitário (19)</v>
          </cell>
          <cell r="X40" t="str">
            <v>Preço Unitário (20)</v>
          </cell>
          <cell r="Y40" t="str">
            <v>Preço Unitário (21)</v>
          </cell>
          <cell r="Z40" t="str">
            <v>Preço Unitário (22)</v>
          </cell>
          <cell r="AA40" t="str">
            <v>Preço Unitário (23)</v>
          </cell>
          <cell r="AB40" t="str">
            <v>Preço Unitário (24)</v>
          </cell>
          <cell r="AC40" t="str">
            <v>Preço Unitário (25)</v>
          </cell>
          <cell r="AD40" t="str">
            <v>Preço Unitário (26)</v>
          </cell>
          <cell r="AE40" t="str">
            <v>Preço Unitário (27)</v>
          </cell>
          <cell r="AF40" t="str">
            <v>Preço Unitário (28)</v>
          </cell>
          <cell r="AG40" t="str">
            <v>Preço Unitário (29)</v>
          </cell>
          <cell r="AH40" t="str">
            <v>Preço Unitário (30)</v>
          </cell>
          <cell r="AI40" t="str">
            <v>Preço Unitário (31)</v>
          </cell>
          <cell r="AJ40" t="str">
            <v>Preço Unitário (32)</v>
          </cell>
          <cell r="AK40" t="str">
            <v>Preço Unitário (33)</v>
          </cell>
          <cell r="AL40" t="str">
            <v>Preço Unitário (34)</v>
          </cell>
          <cell r="AM40" t="str">
            <v>Preço Unitário (35)</v>
          </cell>
          <cell r="AN40" t="str">
            <v>Preço Unitário (36)</v>
          </cell>
          <cell r="AO40" t="str">
            <v>Preço Unitário (37)</v>
          </cell>
          <cell r="AP40" t="str">
            <v>Preço Unitário (38)</v>
          </cell>
          <cell r="AQ40" t="str">
            <v>Preço Unitário (39)</v>
          </cell>
          <cell r="AR40" t="str">
            <v>Preço mediano</v>
          </cell>
          <cell r="AS40" t="str">
            <v>Preço unitário (médio)</v>
          </cell>
          <cell r="AT40" t="str">
            <v>Preço unitário médio 30% variação</v>
          </cell>
        </row>
        <row r="41">
          <cell r="A41" t="str">
            <v>Água sanitária  de 1ª qualidade</v>
          </cell>
          <cell r="B41" t="str">
            <v>BRILHANTE/YPE/CÂNDIDA ou superior</v>
          </cell>
          <cell r="C41" t="str">
            <v>Galão com 5 litros</v>
          </cell>
          <cell r="D41">
            <v>1</v>
          </cell>
          <cell r="E41">
            <v>11.32</v>
          </cell>
          <cell r="F41">
            <v>6.4</v>
          </cell>
          <cell r="G41">
            <v>15.6</v>
          </cell>
          <cell r="H41">
            <v>4.5</v>
          </cell>
          <cell r="I41"/>
          <cell r="J41">
            <v>6</v>
          </cell>
          <cell r="K41">
            <v>7.5</v>
          </cell>
          <cell r="L41">
            <v>3.25</v>
          </cell>
          <cell r="M41">
            <v>7.5</v>
          </cell>
          <cell r="N41"/>
          <cell r="O41">
            <v>6.95</v>
          </cell>
          <cell r="P41">
            <v>6.85</v>
          </cell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/>
          <cell r="AO41"/>
          <cell r="AP41"/>
          <cell r="AQ41"/>
          <cell r="AR41">
            <v>6.9</v>
          </cell>
          <cell r="AS41">
            <v>7.5869999999999989</v>
          </cell>
          <cell r="AT41">
            <v>6.8666666666666671</v>
          </cell>
        </row>
        <row r="42">
          <cell r="A42" t="str">
            <v>Álcool sem perfume</v>
          </cell>
          <cell r="B42"/>
          <cell r="C42" t="str">
            <v>1 litro</v>
          </cell>
          <cell r="D42">
            <v>1</v>
          </cell>
          <cell r="E42">
            <v>4.66</v>
          </cell>
          <cell r="F42">
            <v>4.8</v>
          </cell>
          <cell r="G42">
            <v>7.73</v>
          </cell>
          <cell r="H42"/>
          <cell r="I42"/>
          <cell r="J42">
            <v>5</v>
          </cell>
          <cell r="K42">
            <v>4.3600000000000003</v>
          </cell>
          <cell r="L42"/>
          <cell r="M42">
            <v>10</v>
          </cell>
          <cell r="N42"/>
          <cell r="O42">
            <v>9.64</v>
          </cell>
          <cell r="P42">
            <v>2.78</v>
          </cell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>
            <v>4.9000000000000004</v>
          </cell>
          <cell r="AS42">
            <v>6.1212499999999999</v>
          </cell>
          <cell r="AT42">
            <v>4.7050000000000001</v>
          </cell>
        </row>
        <row r="43">
          <cell r="A43" t="str">
            <v>Álcool líquido 70% e/ou 90%</v>
          </cell>
          <cell r="B43" t="str">
            <v>Itajá</v>
          </cell>
          <cell r="C43" t="str">
            <v>1 litro</v>
          </cell>
          <cell r="D43">
            <v>1</v>
          </cell>
          <cell r="E43">
            <v>4.4400000000000004</v>
          </cell>
          <cell r="F43">
            <v>13</v>
          </cell>
          <cell r="G43">
            <v>3.45</v>
          </cell>
          <cell r="H43">
            <v>5</v>
          </cell>
          <cell r="I43"/>
          <cell r="J43"/>
          <cell r="K43">
            <v>2.79</v>
          </cell>
          <cell r="L43">
            <v>2.85</v>
          </cell>
          <cell r="M43"/>
          <cell r="N43">
            <v>6</v>
          </cell>
          <cell r="O43">
            <v>5.65</v>
          </cell>
          <cell r="P43">
            <v>2.99</v>
          </cell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>
            <v>4.4400000000000004</v>
          </cell>
          <cell r="AS43">
            <v>5.13</v>
          </cell>
          <cell r="AT43">
            <v>4.6349999999999998</v>
          </cell>
        </row>
        <row r="44">
          <cell r="A44" t="str">
            <v>Cera Líquida Branca</v>
          </cell>
          <cell r="B44" t="str">
            <v>YPE/D+ ou superior</v>
          </cell>
          <cell r="C44" t="str">
            <v>galão 5 litros</v>
          </cell>
          <cell r="D44">
            <v>1</v>
          </cell>
          <cell r="E44"/>
          <cell r="F44"/>
          <cell r="G44"/>
          <cell r="H44">
            <v>15.5</v>
          </cell>
          <cell r="I44"/>
          <cell r="J44"/>
          <cell r="K44">
            <v>13.27</v>
          </cell>
          <cell r="L44">
            <v>11.25</v>
          </cell>
          <cell r="M44"/>
          <cell r="N44"/>
          <cell r="O44">
            <v>19</v>
          </cell>
          <cell r="P44">
            <v>8</v>
          </cell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>
            <v>13.27</v>
          </cell>
          <cell r="AS44">
            <v>13.404</v>
          </cell>
          <cell r="AT44">
            <v>13.339999999999998</v>
          </cell>
        </row>
        <row r="45">
          <cell r="A45" t="str">
            <v>Desengraxante para pisos</v>
          </cell>
          <cell r="B45" t="str">
            <v>INGLEZA ou superior</v>
          </cell>
          <cell r="C45" t="str">
            <v>Galão com 5 litros</v>
          </cell>
          <cell r="D45">
            <v>1</v>
          </cell>
          <cell r="E45"/>
          <cell r="F45">
            <v>22.5</v>
          </cell>
          <cell r="G45"/>
          <cell r="H45"/>
          <cell r="I45"/>
          <cell r="J45"/>
          <cell r="K45"/>
          <cell r="L45"/>
          <cell r="M45">
            <v>16.5</v>
          </cell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  <cell r="AJ45"/>
          <cell r="AK45"/>
          <cell r="AL45"/>
          <cell r="AM45"/>
          <cell r="AN45"/>
          <cell r="AO45"/>
          <cell r="AP45"/>
          <cell r="AQ45">
            <v>18.62</v>
          </cell>
          <cell r="AR45">
            <v>18.62</v>
          </cell>
          <cell r="AS45">
            <v>19.206666666666667</v>
          </cell>
          <cell r="AT45">
            <v>19.206666666666667</v>
          </cell>
        </row>
        <row r="46">
          <cell r="A46" t="str">
            <v xml:space="preserve">Desinfetante de uso geral </v>
          </cell>
          <cell r="B46" t="str">
            <v>Valência</v>
          </cell>
          <cell r="C46" t="str">
            <v>galão 5 litros</v>
          </cell>
          <cell r="D46">
            <v>1</v>
          </cell>
          <cell r="E46">
            <v>8.93</v>
          </cell>
          <cell r="F46">
            <v>7.5</v>
          </cell>
          <cell r="G46">
            <v>11.16</v>
          </cell>
          <cell r="H46">
            <v>6.5</v>
          </cell>
          <cell r="I46"/>
          <cell r="J46">
            <v>12</v>
          </cell>
          <cell r="K46">
            <v>4.8899999999999997</v>
          </cell>
          <cell r="L46">
            <v>7.5</v>
          </cell>
          <cell r="M46">
            <v>10</v>
          </cell>
          <cell r="N46"/>
          <cell r="O46">
            <v>11.65</v>
          </cell>
          <cell r="P46">
            <v>5.47</v>
          </cell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>
            <v>8.2149999999999999</v>
          </cell>
          <cell r="AS46">
            <v>8.56</v>
          </cell>
          <cell r="AT46">
            <v>8.0860000000000003</v>
          </cell>
        </row>
        <row r="47">
          <cell r="A47" t="str">
            <v>Desodorizador de ambiente, fragrância lavanda ou similar</v>
          </cell>
          <cell r="B47"/>
          <cell r="C47" t="str">
            <v>unidade</v>
          </cell>
          <cell r="D47">
            <v>1</v>
          </cell>
          <cell r="E47"/>
          <cell r="F47">
            <v>6.4</v>
          </cell>
          <cell r="G47">
            <v>3.9</v>
          </cell>
          <cell r="H47"/>
          <cell r="I47"/>
          <cell r="J47">
            <v>9.0399999999999991</v>
          </cell>
          <cell r="K47">
            <v>4.99</v>
          </cell>
          <cell r="L47">
            <v>3.8</v>
          </cell>
          <cell r="M47">
            <v>6.9</v>
          </cell>
          <cell r="N47"/>
          <cell r="O47">
            <v>6.7</v>
          </cell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  <cell r="AQ47"/>
          <cell r="AR47">
            <v>6.4</v>
          </cell>
          <cell r="AS47">
            <v>5.9614285714285717</v>
          </cell>
          <cell r="AT47">
            <v>6.2474999999999996</v>
          </cell>
        </row>
        <row r="48">
          <cell r="A48" t="str">
            <v>Detergente</v>
          </cell>
          <cell r="B48"/>
          <cell r="C48" t="str">
            <v>galão 5 litros</v>
          </cell>
          <cell r="D48">
            <v>1</v>
          </cell>
          <cell r="E48"/>
          <cell r="F48">
            <v>20</v>
          </cell>
          <cell r="G48">
            <v>11.16</v>
          </cell>
          <cell r="H48"/>
          <cell r="I48"/>
          <cell r="J48"/>
          <cell r="K48">
            <v>10.5</v>
          </cell>
          <cell r="L48">
            <v>5</v>
          </cell>
          <cell r="M48">
            <v>10</v>
          </cell>
          <cell r="N48">
            <v>17.5</v>
          </cell>
          <cell r="O48">
            <v>12.5</v>
          </cell>
          <cell r="P48">
            <v>8</v>
          </cell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  <cell r="AJ48"/>
          <cell r="AK48"/>
          <cell r="AL48"/>
          <cell r="AM48"/>
          <cell r="AN48"/>
          <cell r="AO48"/>
          <cell r="AP48"/>
          <cell r="AQ48"/>
          <cell r="AR48">
            <v>10.83</v>
          </cell>
          <cell r="AS48">
            <v>11.8325</v>
          </cell>
          <cell r="AT48">
            <v>10.431999999999999</v>
          </cell>
        </row>
        <row r="49">
          <cell r="A49" t="str">
            <v>Disco BR 350mm Limpador (verde)</v>
          </cell>
          <cell r="B49" t="str">
            <v>BETTANIN/BRITISH ou superior</v>
          </cell>
          <cell r="C49" t="str">
            <v>Unidade</v>
          </cell>
          <cell r="D49">
            <v>1</v>
          </cell>
          <cell r="E49"/>
          <cell r="F49"/>
          <cell r="G49"/>
          <cell r="H49"/>
          <cell r="I49"/>
          <cell r="J49"/>
          <cell r="K49"/>
          <cell r="L49"/>
          <cell r="M49"/>
          <cell r="N49">
            <v>17.100000000000001</v>
          </cell>
          <cell r="O49"/>
          <cell r="P49"/>
          <cell r="Q49"/>
          <cell r="R49"/>
          <cell r="S49"/>
          <cell r="T49"/>
          <cell r="U49"/>
          <cell r="V49"/>
          <cell r="W49">
            <v>19.899999999999999</v>
          </cell>
          <cell r="X49">
            <v>22.77</v>
          </cell>
          <cell r="Y49">
            <v>16.239999999999998</v>
          </cell>
          <cell r="Z49"/>
          <cell r="AA49"/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/>
          <cell r="AM49"/>
          <cell r="AN49"/>
          <cell r="AO49"/>
          <cell r="AP49"/>
          <cell r="AQ49"/>
          <cell r="AR49">
            <v>18.5</v>
          </cell>
          <cell r="AS49">
            <v>19.002499999999998</v>
          </cell>
          <cell r="AT49">
            <v>19.002499999999998</v>
          </cell>
        </row>
        <row r="50">
          <cell r="A50" t="str">
            <v>Disco BR 350mm Limpador (preto)</v>
          </cell>
          <cell r="B50" t="str">
            <v>BETTANIN/BRITISH ou superior</v>
          </cell>
          <cell r="C50" t="str">
            <v>Unidade</v>
          </cell>
          <cell r="D50">
            <v>1</v>
          </cell>
          <cell r="E50"/>
          <cell r="F50"/>
          <cell r="G50">
            <v>15.39</v>
          </cell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>
            <v>13.64</v>
          </cell>
          <cell r="W50">
            <v>19.190000000000001</v>
          </cell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>
            <v>15.39</v>
          </cell>
          <cell r="AS50">
            <v>16.073333333333334</v>
          </cell>
          <cell r="AT50">
            <v>16.073333333333334</v>
          </cell>
        </row>
        <row r="51">
          <cell r="A51" t="str">
            <v>Escova de mão</v>
          </cell>
          <cell r="B51" t="str">
            <v>CONDOR/BETTANIN/SANTA MARIA ou superior</v>
          </cell>
          <cell r="C51" t="str">
            <v>Unidade</v>
          </cell>
          <cell r="D51">
            <v>1</v>
          </cell>
          <cell r="E51"/>
          <cell r="F51">
            <v>2.7</v>
          </cell>
          <cell r="G51"/>
          <cell r="H51">
            <v>2.15</v>
          </cell>
          <cell r="I51"/>
          <cell r="J51">
            <v>4.29</v>
          </cell>
          <cell r="K51"/>
          <cell r="L51">
            <v>0.9</v>
          </cell>
          <cell r="M51">
            <v>2.5</v>
          </cell>
          <cell r="N51">
            <v>10.81</v>
          </cell>
          <cell r="O51">
            <v>2.8</v>
          </cell>
          <cell r="P51">
            <v>1.7</v>
          </cell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  <cell r="AP51"/>
          <cell r="AQ51"/>
          <cell r="AR51">
            <v>2.6</v>
          </cell>
          <cell r="AS51">
            <v>3.4812500000000002</v>
          </cell>
          <cell r="AT51">
            <v>2.5374999999999996</v>
          </cell>
        </row>
        <row r="52">
          <cell r="A52" t="str">
            <v>Espanador Sintético longo</v>
          </cell>
          <cell r="B52"/>
          <cell r="C52" t="str">
            <v>Unidade</v>
          </cell>
          <cell r="D52"/>
          <cell r="E52">
            <v>11.82</v>
          </cell>
          <cell r="F52">
            <v>9.8000000000000007</v>
          </cell>
          <cell r="G52">
            <v>7.56</v>
          </cell>
          <cell r="H52"/>
          <cell r="I52"/>
          <cell r="J52"/>
          <cell r="K52">
            <v>7.89</v>
          </cell>
          <cell r="L52"/>
          <cell r="M52"/>
          <cell r="N52"/>
          <cell r="O52"/>
          <cell r="P52">
            <v>2.2999999999999998</v>
          </cell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>
            <v>7.89</v>
          </cell>
          <cell r="AS52">
            <v>7.8739999999999997</v>
          </cell>
          <cell r="AT52">
            <v>8.4166666666666661</v>
          </cell>
        </row>
        <row r="53">
          <cell r="A53" t="str">
            <v>Esponja de fibra com dupla face (verde e amarelo)</v>
          </cell>
          <cell r="B53" t="str">
            <v>BomBril, Assolan, 3M scotch brite ou superior</v>
          </cell>
          <cell r="C53" t="str">
            <v>Unidade</v>
          </cell>
          <cell r="D53">
            <v>1</v>
          </cell>
          <cell r="E53">
            <v>0.51</v>
          </cell>
          <cell r="F53">
            <v>1.75</v>
          </cell>
          <cell r="G53">
            <v>1.25</v>
          </cell>
          <cell r="H53">
            <v>0.49</v>
          </cell>
          <cell r="I53"/>
          <cell r="J53">
            <v>0.55000000000000004</v>
          </cell>
          <cell r="K53">
            <v>0.99</v>
          </cell>
          <cell r="L53">
            <v>0.35</v>
          </cell>
          <cell r="M53">
            <v>0.5</v>
          </cell>
          <cell r="N53">
            <v>0.33</v>
          </cell>
          <cell r="O53">
            <v>0.38</v>
          </cell>
          <cell r="P53">
            <v>0.55000000000000004</v>
          </cell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/>
          <cell r="AN53"/>
          <cell r="AO53"/>
          <cell r="AP53"/>
          <cell r="AQ53"/>
          <cell r="AR53">
            <v>0.51</v>
          </cell>
          <cell r="AS53">
            <v>0.69545454545454544</v>
          </cell>
          <cell r="AT53">
            <v>0.49666666666666659</v>
          </cell>
        </row>
        <row r="54">
          <cell r="A54" t="str">
            <v>Flanela branca de 1ª qualidade, medindo 40x60cm</v>
          </cell>
          <cell r="B54" t="str">
            <v>GENÉRICO</v>
          </cell>
          <cell r="C54" t="str">
            <v>Unidade</v>
          </cell>
          <cell r="D54">
            <v>1</v>
          </cell>
          <cell r="E54">
            <v>1.1499999999999999</v>
          </cell>
          <cell r="F54">
            <v>2.35</v>
          </cell>
          <cell r="G54">
            <v>1.42</v>
          </cell>
          <cell r="H54">
            <v>1.8</v>
          </cell>
          <cell r="I54"/>
          <cell r="J54">
            <v>1.5</v>
          </cell>
          <cell r="K54">
            <v>0.75</v>
          </cell>
          <cell r="L54">
            <v>0.65</v>
          </cell>
          <cell r="M54">
            <v>1.5</v>
          </cell>
          <cell r="N54"/>
          <cell r="O54">
            <v>1.1000000000000001</v>
          </cell>
          <cell r="P54">
            <v>1.43</v>
          </cell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>
            <v>1.4249999999999998</v>
          </cell>
          <cell r="AS54">
            <v>1.3649999999999998</v>
          </cell>
          <cell r="AT54">
            <v>1.4142857142857144</v>
          </cell>
        </row>
        <row r="55">
          <cell r="A55" t="str">
            <v>Refil fibra LT do kit conjunto limpeza pesada</v>
          </cell>
          <cell r="B55"/>
          <cell r="C55" t="str">
            <v>Unidade</v>
          </cell>
          <cell r="D55">
            <v>1</v>
          </cell>
          <cell r="E55"/>
          <cell r="F55"/>
          <cell r="G55">
            <v>18.5</v>
          </cell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>
            <v>0.94</v>
          </cell>
          <cell r="T55"/>
          <cell r="U55">
            <v>1.2</v>
          </cell>
          <cell r="V55">
            <v>1.47</v>
          </cell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/>
          <cell r="AO55"/>
          <cell r="AP55"/>
          <cell r="AQ55"/>
          <cell r="AR55">
            <v>1.335</v>
          </cell>
          <cell r="AS55">
            <v>5.5274999999999999</v>
          </cell>
          <cell r="AT55">
            <v>1.2033333333333331</v>
          </cell>
        </row>
        <row r="56">
          <cell r="A56" t="str">
            <v>Lã de aço</v>
          </cell>
          <cell r="B56"/>
          <cell r="C56" t="str">
            <v>pacote</v>
          </cell>
          <cell r="D56">
            <v>1</v>
          </cell>
          <cell r="E56">
            <v>0.81</v>
          </cell>
          <cell r="F56">
            <v>2.2000000000000002</v>
          </cell>
          <cell r="G56">
            <v>2.71</v>
          </cell>
          <cell r="H56"/>
          <cell r="I56"/>
          <cell r="J56"/>
          <cell r="K56">
            <v>0.86</v>
          </cell>
          <cell r="L56"/>
          <cell r="M56">
            <v>0.6</v>
          </cell>
          <cell r="N56"/>
          <cell r="O56"/>
          <cell r="P56">
            <v>1.0900000000000001</v>
          </cell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>
            <v>0.97500000000000009</v>
          </cell>
          <cell r="AS56">
            <v>1.3783333333333336</v>
          </cell>
          <cell r="AT56">
            <v>0.91999999999999993</v>
          </cell>
        </row>
        <row r="57">
          <cell r="A57" t="str">
            <v>Limpa Carpetes</v>
          </cell>
          <cell r="B57"/>
          <cell r="C57" t="str">
            <v>galão 5 litros</v>
          </cell>
          <cell r="D57">
            <v>1</v>
          </cell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>
            <v>43.4</v>
          </cell>
          <cell r="AR57">
            <v>43.4</v>
          </cell>
          <cell r="AS57">
            <v>43.4</v>
          </cell>
          <cell r="AT57">
            <v>43.4</v>
          </cell>
        </row>
        <row r="58">
          <cell r="A58" t="str">
            <v>Limpa cerâmica e azulejos</v>
          </cell>
          <cell r="B58" t="str">
            <v>Azulim</v>
          </cell>
          <cell r="C58" t="str">
            <v>1 litro</v>
          </cell>
          <cell r="D58">
            <v>1</v>
          </cell>
          <cell r="E58"/>
          <cell r="F58">
            <v>12.8</v>
          </cell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>
            <v>4.97</v>
          </cell>
          <cell r="W58"/>
          <cell r="X58"/>
          <cell r="Y58"/>
          <cell r="Z58"/>
          <cell r="AA58"/>
          <cell r="AB58"/>
          <cell r="AC58">
            <v>5.59</v>
          </cell>
          <cell r="AD58">
            <v>4.97</v>
          </cell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>
            <v>5.2799999999999994</v>
          </cell>
          <cell r="AS58">
            <v>7.0824999999999996</v>
          </cell>
          <cell r="AT58">
            <v>5.1766666666666659</v>
          </cell>
        </row>
        <row r="59">
          <cell r="A59" t="str">
            <v>Limpa pedra</v>
          </cell>
          <cell r="B59" t="str">
            <v>Pedrex/Start</v>
          </cell>
          <cell r="C59" t="str">
            <v>1 litro</v>
          </cell>
          <cell r="D59">
            <v>1</v>
          </cell>
          <cell r="E59"/>
          <cell r="F59"/>
          <cell r="G59"/>
          <cell r="H59"/>
          <cell r="I59"/>
          <cell r="J59"/>
          <cell r="K59">
            <v>1.23</v>
          </cell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>
            <v>14.25</v>
          </cell>
          <cell r="AO59">
            <v>13.19</v>
          </cell>
          <cell r="AP59">
            <v>11.3</v>
          </cell>
          <cell r="AQ59"/>
          <cell r="AR59">
            <v>12.245000000000001</v>
          </cell>
          <cell r="AS59">
            <v>9.9924999999999997</v>
          </cell>
          <cell r="AT59">
            <v>12.913333333333332</v>
          </cell>
        </row>
        <row r="60">
          <cell r="A60" t="str">
            <v>Limpa Vidros</v>
          </cell>
          <cell r="B60"/>
          <cell r="C60" t="str">
            <v>galão 5 litros</v>
          </cell>
          <cell r="D60">
            <v>1</v>
          </cell>
          <cell r="E60"/>
          <cell r="F60">
            <v>32.5</v>
          </cell>
          <cell r="G60"/>
          <cell r="H60">
            <v>17</v>
          </cell>
          <cell r="I60"/>
          <cell r="J60"/>
          <cell r="K60">
            <v>8.25</v>
          </cell>
          <cell r="L60">
            <v>7.5</v>
          </cell>
          <cell r="M60">
            <v>12.5</v>
          </cell>
          <cell r="N60"/>
          <cell r="O60">
            <v>17</v>
          </cell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>
            <v>14.75</v>
          </cell>
          <cell r="AS60">
            <v>15.791666666666666</v>
          </cell>
          <cell r="AT60">
            <v>15.5</v>
          </cell>
        </row>
        <row r="61">
          <cell r="A61" t="str">
            <v>Limpador de inox</v>
          </cell>
          <cell r="B61" t="str">
            <v>Scoth Brite</v>
          </cell>
          <cell r="C61" t="str">
            <v>1 litro</v>
          </cell>
          <cell r="D61">
            <v>1</v>
          </cell>
          <cell r="E61"/>
          <cell r="F61"/>
          <cell r="G61">
            <v>104.37</v>
          </cell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>
            <v>23.48</v>
          </cell>
          <cell r="AF61">
            <v>22.36</v>
          </cell>
          <cell r="AG61">
            <v>28.04</v>
          </cell>
          <cell r="AH61"/>
          <cell r="AI61"/>
          <cell r="AJ61"/>
          <cell r="AK61"/>
          <cell r="AL61"/>
          <cell r="AM61"/>
          <cell r="AN61"/>
          <cell r="AO61"/>
          <cell r="AP61"/>
          <cell r="AQ61"/>
          <cell r="AR61">
            <v>25.759999999999998</v>
          </cell>
          <cell r="AS61">
            <v>44.5625</v>
          </cell>
          <cell r="AT61">
            <v>24.626666666666665</v>
          </cell>
        </row>
        <row r="62">
          <cell r="A62" t="str">
            <v>Limpador multiuso</v>
          </cell>
          <cell r="B62"/>
          <cell r="C62" t="str">
            <v>galão 5 litros</v>
          </cell>
          <cell r="D62">
            <v>1</v>
          </cell>
          <cell r="E62">
            <v>8.67</v>
          </cell>
          <cell r="F62">
            <v>28.5</v>
          </cell>
          <cell r="G62">
            <v>15.4</v>
          </cell>
          <cell r="H62"/>
          <cell r="I62"/>
          <cell r="J62">
            <v>39</v>
          </cell>
          <cell r="K62">
            <v>17.100000000000001</v>
          </cell>
          <cell r="L62">
            <v>17.5</v>
          </cell>
          <cell r="M62">
            <v>15</v>
          </cell>
          <cell r="N62">
            <v>10.199999999999999</v>
          </cell>
          <cell r="O62"/>
          <cell r="P62">
            <v>21.5</v>
          </cell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  <cell r="AO62"/>
          <cell r="AP62"/>
          <cell r="AQ62"/>
          <cell r="AR62">
            <v>17.100000000000001</v>
          </cell>
          <cell r="AS62">
            <v>19.207777777777775</v>
          </cell>
          <cell r="AT62">
            <v>17.3</v>
          </cell>
        </row>
        <row r="63">
          <cell r="A63" t="str">
            <v>Lustra Móveis lavanda</v>
          </cell>
          <cell r="B63" t="str">
            <v>DESTAC/POLIFLOR/BRAVO ou superior</v>
          </cell>
          <cell r="C63" t="str">
            <v>Unidade com 200 ml</v>
          </cell>
          <cell r="D63">
            <v>1</v>
          </cell>
          <cell r="E63">
            <v>1.82</v>
          </cell>
          <cell r="F63">
            <v>3.15</v>
          </cell>
          <cell r="G63">
            <v>2.2999999999999998</v>
          </cell>
          <cell r="H63">
            <v>3.5</v>
          </cell>
          <cell r="I63"/>
          <cell r="J63"/>
          <cell r="K63">
            <v>1.89</v>
          </cell>
          <cell r="L63">
            <v>1.2</v>
          </cell>
          <cell r="M63">
            <v>2</v>
          </cell>
          <cell r="N63"/>
          <cell r="O63">
            <v>2.4</v>
          </cell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  <cell r="AQ63"/>
          <cell r="AR63">
            <v>2.15</v>
          </cell>
          <cell r="AS63">
            <v>2.2824999999999998</v>
          </cell>
          <cell r="AT63">
            <v>2.0819999999999999</v>
          </cell>
        </row>
        <row r="64">
          <cell r="A64" t="str">
            <v>Luva látex forrada</v>
          </cell>
          <cell r="B64" t="str">
            <v>SANRO/CONFORT/SCOTCH BRITE ou superior</v>
          </cell>
          <cell r="C64" t="str">
            <v>Par</v>
          </cell>
          <cell r="D64">
            <v>1</v>
          </cell>
          <cell r="E64">
            <v>7.8</v>
          </cell>
          <cell r="F64"/>
          <cell r="G64">
            <v>3.43</v>
          </cell>
          <cell r="H64">
            <v>3</v>
          </cell>
          <cell r="I64"/>
          <cell r="J64">
            <v>8.6</v>
          </cell>
          <cell r="K64">
            <v>1.53</v>
          </cell>
          <cell r="L64">
            <v>1.75</v>
          </cell>
          <cell r="M64">
            <v>2.2999999999999998</v>
          </cell>
          <cell r="N64"/>
          <cell r="O64">
            <v>2.4500000000000002</v>
          </cell>
          <cell r="P64">
            <v>2.29</v>
          </cell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/>
          <cell r="AQ64"/>
          <cell r="AR64">
            <v>2.4500000000000002</v>
          </cell>
          <cell r="AS64">
            <v>3.6833333333333331</v>
          </cell>
          <cell r="AT64">
            <v>2.3579999999999997</v>
          </cell>
        </row>
        <row r="65">
          <cell r="A65" t="str">
            <v>MOP para pó profissional completo 60 cm cj 60p</v>
          </cell>
          <cell r="B65"/>
          <cell r="C65" t="str">
            <v>unidade</v>
          </cell>
          <cell r="D65">
            <v>1</v>
          </cell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/>
          <cell r="AO65"/>
          <cell r="AP65"/>
          <cell r="AQ65">
            <v>36.5</v>
          </cell>
          <cell r="AR65">
            <v>36.5</v>
          </cell>
          <cell r="AS65">
            <v>36.5</v>
          </cell>
          <cell r="AT65">
            <v>36.5</v>
          </cell>
        </row>
        <row r="66">
          <cell r="A66" t="str">
            <v>Refil MOP pó 400g 60 x15 profissional rp 600</v>
          </cell>
          <cell r="B66"/>
          <cell r="C66" t="str">
            <v>unidade</v>
          </cell>
          <cell r="D66">
            <v>1</v>
          </cell>
          <cell r="E66"/>
          <cell r="F66"/>
          <cell r="G66"/>
          <cell r="H66"/>
          <cell r="I66"/>
          <cell r="J66">
            <v>12.19</v>
          </cell>
          <cell r="K66"/>
          <cell r="L66"/>
          <cell r="M66"/>
          <cell r="N66"/>
          <cell r="O66">
            <v>28</v>
          </cell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>
            <v>29.61</v>
          </cell>
          <cell r="AA66">
            <v>27.23</v>
          </cell>
          <cell r="AB66">
            <v>32.61</v>
          </cell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/>
          <cell r="AQ66"/>
          <cell r="AR66">
            <v>28</v>
          </cell>
          <cell r="AS66">
            <v>25.927999999999997</v>
          </cell>
          <cell r="AT66">
            <v>29.362500000000001</v>
          </cell>
        </row>
        <row r="67">
          <cell r="A67" t="str">
            <v>Pano de chão/saco alvejado</v>
          </cell>
          <cell r="B67"/>
          <cell r="C67" t="str">
            <v>unidade</v>
          </cell>
          <cell r="D67">
            <v>1</v>
          </cell>
          <cell r="E67">
            <v>2.3199999999999998</v>
          </cell>
          <cell r="F67">
            <v>2.0499999999999998</v>
          </cell>
          <cell r="G67">
            <v>2.36</v>
          </cell>
          <cell r="H67">
            <v>2.5</v>
          </cell>
          <cell r="I67"/>
          <cell r="J67">
            <v>1.9</v>
          </cell>
          <cell r="K67">
            <v>1.25</v>
          </cell>
          <cell r="L67">
            <v>1</v>
          </cell>
          <cell r="M67">
            <v>1.2</v>
          </cell>
          <cell r="N67">
            <v>1.1399999999999999</v>
          </cell>
          <cell r="O67">
            <v>2.2999999999999998</v>
          </cell>
          <cell r="P67">
            <v>2.5499999999999998</v>
          </cell>
          <cell r="Q67"/>
          <cell r="R67"/>
          <cell r="S67"/>
          <cell r="T67"/>
          <cell r="U67"/>
          <cell r="V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  <cell r="AG67"/>
          <cell r="AH67"/>
          <cell r="AI67"/>
          <cell r="AJ67"/>
          <cell r="AK67"/>
          <cell r="AL67"/>
          <cell r="AM67"/>
          <cell r="AN67"/>
          <cell r="AO67"/>
          <cell r="AP67"/>
          <cell r="AQ67"/>
          <cell r="AR67">
            <v>2.0499999999999998</v>
          </cell>
          <cell r="AS67">
            <v>1.87</v>
          </cell>
          <cell r="AT67">
            <v>2.2828571428571429</v>
          </cell>
        </row>
        <row r="68">
          <cell r="A68" t="str">
            <v>Pasta para limpeza a seco</v>
          </cell>
          <cell r="B68" t="str">
            <v>Limptek</v>
          </cell>
          <cell r="C68" t="str">
            <v>unidade 500g</v>
          </cell>
          <cell r="D68">
            <v>1</v>
          </cell>
          <cell r="E68"/>
          <cell r="F68">
            <v>4.25</v>
          </cell>
          <cell r="G68">
            <v>4.26</v>
          </cell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/>
          <cell r="AI68"/>
          <cell r="AJ68"/>
          <cell r="AK68"/>
          <cell r="AL68"/>
          <cell r="AM68"/>
          <cell r="AN68"/>
          <cell r="AO68"/>
          <cell r="AP68"/>
          <cell r="AQ68"/>
          <cell r="AR68">
            <v>4.2549999999999999</v>
          </cell>
          <cell r="AS68">
            <v>4.2549999999999999</v>
          </cell>
          <cell r="AT68">
            <v>4.2549999999999999</v>
          </cell>
        </row>
        <row r="69">
          <cell r="A69" t="str">
            <v xml:space="preserve">Removedor  para Piso </v>
          </cell>
          <cell r="B69" t="str">
            <v>BRILHANTE/YPE/CÂNDIDA ou superior</v>
          </cell>
          <cell r="C69" t="str">
            <v>galão 5 litros</v>
          </cell>
          <cell r="D69">
            <v>6</v>
          </cell>
          <cell r="E69">
            <v>24.37</v>
          </cell>
          <cell r="F69">
            <v>22.5</v>
          </cell>
          <cell r="G69">
            <v>23.95</v>
          </cell>
          <cell r="H69"/>
          <cell r="I69"/>
          <cell r="J69"/>
          <cell r="K69"/>
          <cell r="L69">
            <v>24</v>
          </cell>
          <cell r="M69"/>
          <cell r="N69"/>
          <cell r="O69">
            <v>26.5</v>
          </cell>
          <cell r="P69"/>
          <cell r="Q69"/>
          <cell r="R69"/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  <cell r="AJ69"/>
          <cell r="AK69"/>
          <cell r="AL69"/>
          <cell r="AM69"/>
          <cell r="AN69"/>
          <cell r="AO69"/>
          <cell r="AP69"/>
          <cell r="AQ69"/>
          <cell r="AR69">
            <v>24</v>
          </cell>
          <cell r="AS69">
            <v>24.264000000000003</v>
          </cell>
          <cell r="AT69">
            <v>24.264000000000003</v>
          </cell>
        </row>
        <row r="70">
          <cell r="A70" t="str">
            <v>Sabão de coco em barra</v>
          </cell>
          <cell r="B70"/>
          <cell r="C70" t="str">
            <v>pacote com 5 unidades</v>
          </cell>
          <cell r="D70">
            <v>1</v>
          </cell>
          <cell r="E70">
            <v>4.1900000000000004</v>
          </cell>
          <cell r="F70">
            <v>2.5</v>
          </cell>
          <cell r="G70"/>
          <cell r="H70">
            <v>2.5</v>
          </cell>
          <cell r="I70"/>
          <cell r="J70"/>
          <cell r="K70">
            <v>3.15</v>
          </cell>
          <cell r="L70">
            <v>2.5</v>
          </cell>
          <cell r="M70">
            <v>2.25</v>
          </cell>
          <cell r="N70"/>
          <cell r="O70">
            <v>3.75</v>
          </cell>
          <cell r="P70">
            <v>2.4500000000000002</v>
          </cell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>
            <v>2.5</v>
          </cell>
          <cell r="AS70">
            <v>2.9112500000000003</v>
          </cell>
          <cell r="AT70">
            <v>2.5583333333333336</v>
          </cell>
        </row>
        <row r="71">
          <cell r="A71" t="str">
            <v>Sabão em pó</v>
          </cell>
          <cell r="B71"/>
          <cell r="C71" t="str">
            <v>caixa 1 kg</v>
          </cell>
          <cell r="D71">
            <v>1</v>
          </cell>
          <cell r="E71"/>
          <cell r="F71">
            <v>5.6</v>
          </cell>
          <cell r="G71"/>
          <cell r="H71"/>
          <cell r="I71"/>
          <cell r="J71">
            <v>7.48</v>
          </cell>
          <cell r="K71">
            <v>2.2000000000000002</v>
          </cell>
          <cell r="L71">
            <v>1.75</v>
          </cell>
          <cell r="M71">
            <v>2.2999999999999998</v>
          </cell>
          <cell r="N71"/>
          <cell r="O71">
            <v>3.32</v>
          </cell>
          <cell r="P71">
            <v>2.2999999999999998</v>
          </cell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/>
          <cell r="AN71"/>
          <cell r="AO71"/>
          <cell r="AP71"/>
          <cell r="AQ71"/>
          <cell r="AR71">
            <v>2.2999999999999998</v>
          </cell>
          <cell r="AS71">
            <v>3.5642857142857145</v>
          </cell>
          <cell r="AT71">
            <v>2.1375000000000002</v>
          </cell>
        </row>
        <row r="72">
          <cell r="A72" t="str">
            <v>Saco para lixo de 100 litros, azul</v>
          </cell>
          <cell r="B72" t="str">
            <v>ZAPACK, ECOMAX REFORÇADO ou superior</v>
          </cell>
          <cell r="C72" t="str">
            <v>Fardo com 100 unidades</v>
          </cell>
          <cell r="D72">
            <v>1</v>
          </cell>
          <cell r="E72"/>
          <cell r="F72">
            <v>30</v>
          </cell>
          <cell r="G72"/>
          <cell r="H72">
            <v>11</v>
          </cell>
          <cell r="I72"/>
          <cell r="J72"/>
          <cell r="K72"/>
          <cell r="L72">
            <v>6.5</v>
          </cell>
          <cell r="M72"/>
          <cell r="N72"/>
          <cell r="O72">
            <v>24</v>
          </cell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/>
          <cell r="AN72"/>
          <cell r="AO72"/>
          <cell r="AP72"/>
          <cell r="AQ72">
            <v>15.29</v>
          </cell>
          <cell r="AR72">
            <v>15.29</v>
          </cell>
          <cell r="AS72">
            <v>17.357999999999997</v>
          </cell>
          <cell r="AT72">
            <v>13.145</v>
          </cell>
        </row>
        <row r="73">
          <cell r="A73" t="str">
            <v>Saco para lixo de 100 litros, cor preto</v>
          </cell>
          <cell r="B73" t="str">
            <v>ZAPACK, ECOMAX REFORÇADO ou superior</v>
          </cell>
          <cell r="C73" t="str">
            <v>Fardo com 100 unidades</v>
          </cell>
          <cell r="D73">
            <v>1</v>
          </cell>
          <cell r="E73"/>
          <cell r="F73">
            <v>30</v>
          </cell>
          <cell r="G73"/>
          <cell r="H73"/>
          <cell r="I73"/>
          <cell r="J73"/>
          <cell r="K73"/>
          <cell r="L73"/>
          <cell r="M73"/>
          <cell r="N73"/>
          <cell r="O73">
            <v>24</v>
          </cell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  <cell r="AM73"/>
          <cell r="AN73"/>
          <cell r="AO73"/>
          <cell r="AP73"/>
          <cell r="AQ73">
            <v>36.67</v>
          </cell>
          <cell r="AR73">
            <v>30</v>
          </cell>
          <cell r="AS73">
            <v>30.223333333333333</v>
          </cell>
          <cell r="AT73">
            <v>30.223333333333333</v>
          </cell>
        </row>
        <row r="74">
          <cell r="A74" t="str">
            <v>Saco para lixo de 20 litros,  cor preta</v>
          </cell>
          <cell r="B74" t="str">
            <v>ZAPACK, ECOMAX REFORÇADO ou superior</v>
          </cell>
          <cell r="C74" t="str">
            <v>Fardo com 100 unidades</v>
          </cell>
          <cell r="D74">
            <v>1</v>
          </cell>
          <cell r="E74"/>
          <cell r="F74">
            <v>7.45</v>
          </cell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  <cell r="AG74"/>
          <cell r="AH74"/>
          <cell r="AI74"/>
          <cell r="AJ74"/>
          <cell r="AK74"/>
          <cell r="AL74"/>
          <cell r="AM74"/>
          <cell r="AN74"/>
          <cell r="AO74"/>
          <cell r="AP74"/>
          <cell r="AQ74">
            <v>4.51</v>
          </cell>
          <cell r="AR74">
            <v>5.98</v>
          </cell>
          <cell r="AS74">
            <v>5.98</v>
          </cell>
          <cell r="AT74">
            <v>5.98</v>
          </cell>
        </row>
        <row r="75">
          <cell r="A75" t="str">
            <v>Saco para lixo de 40 litros, cor preta</v>
          </cell>
          <cell r="B75" t="str">
            <v>ZAPACK, ECOMAX REFORÇADO ou superior</v>
          </cell>
          <cell r="C75" t="str">
            <v>Fardo com 100 unidades</v>
          </cell>
          <cell r="D75">
            <v>1</v>
          </cell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/>
          <cell r="AM75"/>
          <cell r="AN75"/>
          <cell r="AO75"/>
          <cell r="AP75"/>
          <cell r="AQ75">
            <v>12.8</v>
          </cell>
          <cell r="AR75">
            <v>12.8</v>
          </cell>
          <cell r="AS75">
            <v>12.8</v>
          </cell>
          <cell r="AT75">
            <v>12.8</v>
          </cell>
        </row>
        <row r="76">
          <cell r="A76" t="str">
            <v>Saco para lixo de 60 litros,  cor preto</v>
          </cell>
          <cell r="B76" t="str">
            <v>ZAPACK, ECOMAX REFORÇADO ou superior</v>
          </cell>
          <cell r="C76" t="str">
            <v>Fardo com 100 unidades</v>
          </cell>
          <cell r="D76">
            <v>1</v>
          </cell>
          <cell r="E76"/>
          <cell r="F76">
            <v>10.8</v>
          </cell>
          <cell r="G76"/>
          <cell r="H76">
            <v>6</v>
          </cell>
          <cell r="I76"/>
          <cell r="J76"/>
          <cell r="K76"/>
          <cell r="L76"/>
          <cell r="M76">
            <v>6</v>
          </cell>
          <cell r="N76">
            <v>27.8</v>
          </cell>
          <cell r="O76"/>
          <cell r="P76"/>
          <cell r="Q76"/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F76"/>
          <cell r="AG76"/>
          <cell r="AH76"/>
          <cell r="AI76"/>
          <cell r="AJ76"/>
          <cell r="AK76"/>
          <cell r="AL76"/>
          <cell r="AM76"/>
          <cell r="AN76"/>
          <cell r="AO76"/>
          <cell r="AP76"/>
          <cell r="AQ76"/>
          <cell r="AR76">
            <v>8.4</v>
          </cell>
          <cell r="AS76">
            <v>12.65</v>
          </cell>
          <cell r="AT76">
            <v>7.6000000000000005</v>
          </cell>
        </row>
        <row r="77">
          <cell r="A77" t="str">
            <v>Saponáceo Cremoso</v>
          </cell>
          <cell r="B77"/>
          <cell r="C77" t="str">
            <v>frasco 300 ml</v>
          </cell>
          <cell r="D77">
            <v>1</v>
          </cell>
          <cell r="E77"/>
          <cell r="F77">
            <v>3.2</v>
          </cell>
          <cell r="G77"/>
          <cell r="H77"/>
          <cell r="I77"/>
          <cell r="J77"/>
          <cell r="K77"/>
          <cell r="L77"/>
          <cell r="M77"/>
          <cell r="N77"/>
          <cell r="O77">
            <v>1.99</v>
          </cell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/>
          <cell r="AN77"/>
          <cell r="AO77"/>
          <cell r="AP77"/>
          <cell r="AQ77">
            <v>2.56</v>
          </cell>
          <cell r="AR77">
            <v>2.56</v>
          </cell>
          <cell r="AS77">
            <v>2.5833333333333335</v>
          </cell>
          <cell r="AT77">
            <v>2.5833333333333335</v>
          </cell>
        </row>
        <row r="78">
          <cell r="A78" t="str">
            <v>Spray anti-mofo</v>
          </cell>
          <cell r="B78" t="str">
            <v>Sanol</v>
          </cell>
          <cell r="C78" t="str">
            <v>frasco 300 ml</v>
          </cell>
          <cell r="D78">
            <v>1</v>
          </cell>
          <cell r="E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>
            <v>22.5</v>
          </cell>
          <cell r="AH78">
            <v>16.98</v>
          </cell>
          <cell r="AI78">
            <v>18.5</v>
          </cell>
          <cell r="AJ78"/>
          <cell r="AK78"/>
          <cell r="AL78"/>
          <cell r="AM78"/>
          <cell r="AN78"/>
          <cell r="AO78"/>
          <cell r="AP78"/>
          <cell r="AQ78"/>
          <cell r="AR78">
            <v>18.5</v>
          </cell>
          <cell r="AS78">
            <v>19.326666666666668</v>
          </cell>
          <cell r="AT78">
            <v>19.326666666666668</v>
          </cell>
        </row>
        <row r="79">
          <cell r="A79" t="str">
            <v>Vaselina líquida</v>
          </cell>
          <cell r="B79"/>
          <cell r="C79" t="str">
            <v>frasco 1 L</v>
          </cell>
          <cell r="D79">
            <v>1</v>
          </cell>
          <cell r="E79"/>
          <cell r="F79"/>
          <cell r="G79"/>
          <cell r="H79"/>
          <cell r="I79"/>
          <cell r="J79">
            <v>24</v>
          </cell>
          <cell r="K79"/>
          <cell r="L79">
            <v>4</v>
          </cell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/>
          <cell r="AN79"/>
          <cell r="AO79"/>
          <cell r="AP79"/>
          <cell r="AQ79">
            <v>26.4</v>
          </cell>
          <cell r="AR79">
            <v>24</v>
          </cell>
          <cell r="AS79">
            <v>18.133333333333333</v>
          </cell>
          <cell r="AT79">
            <v>25.2</v>
          </cell>
        </row>
        <row r="80">
          <cell r="A80" t="str">
            <v>Limpador perfumado base de álcool</v>
          </cell>
          <cell r="B80"/>
          <cell r="C80" t="str">
            <v>galão 5 litros</v>
          </cell>
          <cell r="D80">
            <v>1</v>
          </cell>
          <cell r="E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>
            <v>14</v>
          </cell>
          <cell r="AK80">
            <v>13.86</v>
          </cell>
          <cell r="AL80">
            <v>18.489999999999998</v>
          </cell>
          <cell r="AM80">
            <v>26.66</v>
          </cell>
          <cell r="AN80"/>
          <cell r="AO80"/>
          <cell r="AP80"/>
          <cell r="AQ80"/>
          <cell r="AR80">
            <v>16.244999999999997</v>
          </cell>
          <cell r="AS80">
            <v>18.252499999999998</v>
          </cell>
          <cell r="AT80">
            <v>15.449999999999998</v>
          </cell>
        </row>
        <row r="81">
          <cell r="A81" t="str">
            <v>Cera líquida incolor</v>
          </cell>
          <cell r="B81" t="str">
            <v>YPE/D+ ou superior</v>
          </cell>
          <cell r="C81" t="str">
            <v>galão 5 litros</v>
          </cell>
          <cell r="D81">
            <v>1</v>
          </cell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>
            <v>29.23</v>
          </cell>
          <cell r="AR81">
            <v>29.23</v>
          </cell>
          <cell r="AS81">
            <v>29.23</v>
          </cell>
          <cell r="AT81">
            <v>29.23</v>
          </cell>
        </row>
        <row r="82">
          <cell r="A82" t="str">
            <v>Cera líquida preta</v>
          </cell>
          <cell r="B82" t="str">
            <v>YPE/D+ ou superior</v>
          </cell>
          <cell r="C82" t="str">
            <v>galão 5 litros</v>
          </cell>
          <cell r="D82">
            <v>1</v>
          </cell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  <cell r="AJ82"/>
          <cell r="AK82"/>
          <cell r="AL82"/>
          <cell r="AM82"/>
          <cell r="AN82"/>
          <cell r="AO82"/>
          <cell r="AP82"/>
          <cell r="AQ82">
            <v>22.22</v>
          </cell>
          <cell r="AR82">
            <v>22.22</v>
          </cell>
          <cell r="AS82">
            <v>22.22</v>
          </cell>
          <cell r="AT82">
            <v>22.22</v>
          </cell>
        </row>
        <row r="83">
          <cell r="A83" t="str">
            <v>Óleo de Peroba</v>
          </cell>
          <cell r="B83"/>
          <cell r="C83" t="str">
            <v>200 ml</v>
          </cell>
          <cell r="D83">
            <v>1</v>
          </cell>
          <cell r="E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/>
          <cell r="AN83"/>
          <cell r="AO83"/>
          <cell r="AP83"/>
          <cell r="AQ83">
            <v>10.119999999999999</v>
          </cell>
          <cell r="AR83">
            <v>10.119999999999999</v>
          </cell>
          <cell r="AS83">
            <v>10.119999999999999</v>
          </cell>
          <cell r="AT83">
            <v>10.119999999999999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view="pageBreakPreview" zoomScale="80" zoomScaleNormal="100" zoomScaleSheetLayoutView="80" workbookViewId="0">
      <selection activeCell="E26" sqref="E26:G26"/>
    </sheetView>
  </sheetViews>
  <sheetFormatPr defaultRowHeight="15" x14ac:dyDescent="0.25"/>
  <cols>
    <col min="1" max="1" width="6.7109375" style="1" customWidth="1"/>
    <col min="2" max="2" width="10.140625" style="1" customWidth="1"/>
    <col min="3" max="3" width="51.140625" style="1" customWidth="1"/>
    <col min="4" max="4" width="46.42578125" style="1" customWidth="1"/>
    <col min="5" max="5" width="28.140625" style="1" customWidth="1"/>
    <col min="6" max="6" width="16.85546875" style="1" customWidth="1"/>
    <col min="7" max="7" width="19.28515625" style="1" customWidth="1"/>
    <col min="8" max="8" width="17.5703125" style="1" customWidth="1"/>
    <col min="9" max="9" width="15" style="1" bestFit="1" customWidth="1"/>
    <col min="10" max="10" width="15.5703125" style="1" bestFit="1" customWidth="1"/>
    <col min="11" max="16384" width="9.140625" style="1"/>
  </cols>
  <sheetData>
    <row r="1" spans="1:10" x14ac:dyDescent="0.25">
      <c r="A1" s="282" t="s">
        <v>464</v>
      </c>
      <c r="B1" s="283"/>
      <c r="C1" s="283"/>
      <c r="D1" s="283"/>
      <c r="E1" s="283"/>
      <c r="F1" s="283"/>
      <c r="G1" s="283"/>
      <c r="H1" s="284"/>
    </row>
    <row r="2" spans="1:10" x14ac:dyDescent="0.25">
      <c r="A2" s="285" t="s">
        <v>621</v>
      </c>
      <c r="B2" s="286"/>
      <c r="C2" s="286"/>
      <c r="D2" s="286"/>
      <c r="E2" s="286"/>
      <c r="F2" s="286"/>
      <c r="G2" s="286"/>
      <c r="H2" s="287"/>
    </row>
    <row r="3" spans="1:10" x14ac:dyDescent="0.25">
      <c r="A3" s="252"/>
      <c r="B3" s="253"/>
      <c r="C3" s="253"/>
      <c r="D3" s="253"/>
      <c r="E3" s="253"/>
      <c r="F3" s="253"/>
      <c r="G3" s="253"/>
      <c r="H3" s="253"/>
    </row>
    <row r="4" spans="1:10" x14ac:dyDescent="0.25">
      <c r="A4" s="288" t="s">
        <v>375</v>
      </c>
      <c r="B4" s="289"/>
      <c r="C4" s="289"/>
      <c r="D4" s="289"/>
      <c r="E4" s="289"/>
      <c r="F4" s="289"/>
      <c r="G4" s="289"/>
      <c r="H4" s="290"/>
    </row>
    <row r="5" spans="1:10" x14ac:dyDescent="0.25">
      <c r="A5" s="251"/>
      <c r="B5" s="251"/>
      <c r="C5" s="251"/>
      <c r="D5" s="251"/>
      <c r="E5" s="251"/>
      <c r="F5" s="251"/>
      <c r="G5" s="251"/>
      <c r="H5" s="220"/>
    </row>
    <row r="6" spans="1:10" x14ac:dyDescent="0.25">
      <c r="A6" s="288" t="s">
        <v>601</v>
      </c>
      <c r="B6" s="289"/>
      <c r="C6" s="289"/>
      <c r="D6" s="289"/>
      <c r="E6" s="289"/>
      <c r="F6" s="289"/>
      <c r="G6" s="289"/>
      <c r="H6" s="290"/>
    </row>
    <row r="7" spans="1:10" ht="45" x14ac:dyDescent="0.25">
      <c r="A7" s="221" t="s">
        <v>292</v>
      </c>
      <c r="B7" s="221" t="s">
        <v>477</v>
      </c>
      <c r="C7" s="221" t="s">
        <v>293</v>
      </c>
      <c r="D7" s="221" t="s">
        <v>334</v>
      </c>
      <c r="E7" s="221" t="s">
        <v>603</v>
      </c>
      <c r="F7" s="222" t="s">
        <v>294</v>
      </c>
      <c r="G7" s="223" t="s">
        <v>298</v>
      </c>
      <c r="H7" s="223" t="s">
        <v>485</v>
      </c>
    </row>
    <row r="8" spans="1:10" ht="75" x14ac:dyDescent="0.25">
      <c r="A8" s="224">
        <v>1</v>
      </c>
      <c r="B8" s="225" t="s">
        <v>478</v>
      </c>
      <c r="C8" s="226" t="s">
        <v>599</v>
      </c>
      <c r="D8" s="167" t="s">
        <v>335</v>
      </c>
      <c r="E8" s="167" t="s">
        <v>336</v>
      </c>
      <c r="F8" s="227">
        <f>'Subitem 1.1'!K166</f>
        <v>8520.5400000000009</v>
      </c>
      <c r="G8" s="227">
        <f>ROUND(F8*12,2)</f>
        <v>102246.48</v>
      </c>
      <c r="H8" s="227">
        <f>ROUND(F8*30,2)</f>
        <v>255616.2</v>
      </c>
    </row>
    <row r="9" spans="1:10" x14ac:dyDescent="0.25">
      <c r="A9" s="304">
        <v>2</v>
      </c>
      <c r="B9" s="316" t="s">
        <v>479</v>
      </c>
      <c r="C9" s="307" t="s">
        <v>600</v>
      </c>
      <c r="D9" s="228" t="s">
        <v>337</v>
      </c>
      <c r="E9" s="228" t="s">
        <v>338</v>
      </c>
      <c r="F9" s="228" t="s">
        <v>169</v>
      </c>
      <c r="G9" s="277" t="s">
        <v>169</v>
      </c>
      <c r="H9" s="277">
        <f>'Subitem 2.1'!G6</f>
        <v>44280.600000000006</v>
      </c>
    </row>
    <row r="10" spans="1:10" x14ac:dyDescent="0.25">
      <c r="A10" s="305"/>
      <c r="B10" s="316"/>
      <c r="C10" s="308"/>
      <c r="D10" s="228" t="s">
        <v>339</v>
      </c>
      <c r="E10" s="228" t="s">
        <v>340</v>
      </c>
      <c r="F10" s="228" t="s">
        <v>169</v>
      </c>
      <c r="G10" s="278"/>
      <c r="H10" s="278"/>
    </row>
    <row r="11" spans="1:10" ht="30" x14ac:dyDescent="0.25">
      <c r="A11" s="305"/>
      <c r="B11" s="316"/>
      <c r="C11" s="308"/>
      <c r="D11" s="228" t="s">
        <v>341</v>
      </c>
      <c r="E11" s="228" t="s">
        <v>340</v>
      </c>
      <c r="F11" s="228" t="s">
        <v>169</v>
      </c>
      <c r="G11" s="279"/>
      <c r="H11" s="279"/>
    </row>
    <row r="12" spans="1:10" x14ac:dyDescent="0.25">
      <c r="A12" s="305"/>
      <c r="B12" s="228" t="s">
        <v>480</v>
      </c>
      <c r="C12" s="308"/>
      <c r="D12" s="229"/>
      <c r="E12" s="230" t="s">
        <v>358</v>
      </c>
      <c r="F12" s="231"/>
      <c r="G12" s="232">
        <f>'BDI - Subitens Serviços'!C10</f>
        <v>0.2669141020689656</v>
      </c>
      <c r="H12" s="233">
        <f>H9*G12</f>
        <v>11819.11658807504</v>
      </c>
    </row>
    <row r="13" spans="1:10" x14ac:dyDescent="0.25">
      <c r="A13" s="306"/>
      <c r="B13" s="234"/>
      <c r="C13" s="309"/>
      <c r="D13" s="319" t="s">
        <v>376</v>
      </c>
      <c r="E13" s="320"/>
      <c r="F13" s="320"/>
      <c r="G13" s="321"/>
      <c r="H13" s="233">
        <f>H9+H12</f>
        <v>56099.716588075047</v>
      </c>
    </row>
    <row r="14" spans="1:10" x14ac:dyDescent="0.25">
      <c r="A14" s="333">
        <v>3</v>
      </c>
      <c r="B14" s="235" t="s">
        <v>481</v>
      </c>
      <c r="C14" s="336" t="s">
        <v>533</v>
      </c>
      <c r="D14" s="339" t="s">
        <v>534</v>
      </c>
      <c r="E14" s="235" t="s">
        <v>493</v>
      </c>
      <c r="F14" s="235" t="s">
        <v>169</v>
      </c>
      <c r="G14" s="236" t="s">
        <v>169</v>
      </c>
      <c r="H14" s="257">
        <v>108040.82</v>
      </c>
      <c r="J14" s="245"/>
    </row>
    <row r="15" spans="1:10" x14ac:dyDescent="0.25">
      <c r="A15" s="334"/>
      <c r="B15" s="235" t="s">
        <v>482</v>
      </c>
      <c r="C15" s="337"/>
      <c r="D15" s="340"/>
      <c r="E15" s="327" t="s">
        <v>487</v>
      </c>
      <c r="F15" s="328"/>
      <c r="G15" s="237">
        <f>'Descontos 3.2 e 5.2'!A3:A3</f>
        <v>0</v>
      </c>
      <c r="H15" s="257">
        <f>ROUND(H14*G15,2)</f>
        <v>0</v>
      </c>
      <c r="J15" s="245"/>
    </row>
    <row r="16" spans="1:10" x14ac:dyDescent="0.25">
      <c r="A16" s="334"/>
      <c r="B16" s="235"/>
      <c r="C16" s="337"/>
      <c r="D16" s="340"/>
      <c r="E16" s="327" t="s">
        <v>488</v>
      </c>
      <c r="F16" s="329"/>
      <c r="G16" s="328"/>
      <c r="H16" s="257">
        <f>H14-H15</f>
        <v>108040.82</v>
      </c>
    </row>
    <row r="17" spans="1:9" x14ac:dyDescent="0.25">
      <c r="A17" s="334"/>
      <c r="B17" s="235" t="s">
        <v>532</v>
      </c>
      <c r="C17" s="337"/>
      <c r="D17" s="340"/>
      <c r="E17" s="327" t="s">
        <v>358</v>
      </c>
      <c r="F17" s="328"/>
      <c r="G17" s="237">
        <f>'BDI - Subitens Serviços'!C10</f>
        <v>0.2669141020689656</v>
      </c>
      <c r="H17" s="257">
        <f>ROUND(H16*G17,2)</f>
        <v>28837.62</v>
      </c>
    </row>
    <row r="18" spans="1:9" x14ac:dyDescent="0.25">
      <c r="A18" s="335"/>
      <c r="B18" s="238"/>
      <c r="C18" s="338"/>
      <c r="D18" s="341"/>
      <c r="E18" s="327" t="s">
        <v>376</v>
      </c>
      <c r="F18" s="329"/>
      <c r="G18" s="328"/>
      <c r="H18" s="257">
        <f>H16+H17</f>
        <v>136878.44</v>
      </c>
    </row>
    <row r="19" spans="1:9" ht="60" x14ac:dyDescent="0.25">
      <c r="A19" s="291">
        <v>4</v>
      </c>
      <c r="B19" s="239" t="s">
        <v>483</v>
      </c>
      <c r="C19" s="294" t="s">
        <v>466</v>
      </c>
      <c r="D19" s="313" t="s">
        <v>342</v>
      </c>
      <c r="E19" s="239" t="s">
        <v>343</v>
      </c>
      <c r="F19" s="233" t="s">
        <v>169</v>
      </c>
      <c r="G19" s="233" t="s">
        <v>169</v>
      </c>
      <c r="H19" s="233">
        <f>'Subitem 4.1'!G34</f>
        <v>135504.62</v>
      </c>
    </row>
    <row r="20" spans="1:9" x14ac:dyDescent="0.25">
      <c r="A20" s="292"/>
      <c r="B20" s="239" t="s">
        <v>484</v>
      </c>
      <c r="C20" s="295"/>
      <c r="D20" s="314"/>
      <c r="E20" s="317" t="s">
        <v>358</v>
      </c>
      <c r="F20" s="318"/>
      <c r="G20" s="232">
        <f>'BDI - Subitens Mat e Insumos'!C10</f>
        <v>0.10890619719771633</v>
      </c>
      <c r="H20" s="233">
        <f>H19*G20</f>
        <v>14757.292866921614</v>
      </c>
    </row>
    <row r="21" spans="1:9" x14ac:dyDescent="0.25">
      <c r="A21" s="293"/>
      <c r="B21" s="240"/>
      <c r="C21" s="296"/>
      <c r="D21" s="315"/>
      <c r="E21" s="317" t="s">
        <v>376</v>
      </c>
      <c r="F21" s="322"/>
      <c r="G21" s="318"/>
      <c r="H21" s="233">
        <f>H19+H20</f>
        <v>150261.9128669216</v>
      </c>
    </row>
    <row r="22" spans="1:9" x14ac:dyDescent="0.25">
      <c r="A22" s="297">
        <v>5</v>
      </c>
      <c r="B22" s="215" t="s">
        <v>489</v>
      </c>
      <c r="C22" s="300" t="s">
        <v>467</v>
      </c>
      <c r="D22" s="310" t="s">
        <v>344</v>
      </c>
      <c r="E22" s="215" t="s">
        <v>493</v>
      </c>
      <c r="F22" s="215" t="s">
        <v>169</v>
      </c>
      <c r="G22" s="241" t="s">
        <v>169</v>
      </c>
      <c r="H22" s="258">
        <v>27789.07</v>
      </c>
    </row>
    <row r="23" spans="1:9" x14ac:dyDescent="0.25">
      <c r="A23" s="298"/>
      <c r="B23" s="215" t="s">
        <v>490</v>
      </c>
      <c r="C23" s="301"/>
      <c r="D23" s="311"/>
      <c r="E23" s="280" t="s">
        <v>487</v>
      </c>
      <c r="F23" s="281"/>
      <c r="G23" s="242">
        <f>'Descontos 3.2 e 5.2'!A3</f>
        <v>0</v>
      </c>
      <c r="H23" s="258">
        <f>ROUND(H22*G23,2)</f>
        <v>0</v>
      </c>
    </row>
    <row r="24" spans="1:9" x14ac:dyDescent="0.25">
      <c r="A24" s="298"/>
      <c r="B24" s="215"/>
      <c r="C24" s="301"/>
      <c r="D24" s="311"/>
      <c r="E24" s="280" t="s">
        <v>488</v>
      </c>
      <c r="F24" s="303"/>
      <c r="G24" s="281"/>
      <c r="H24" s="258">
        <f>H22-H23</f>
        <v>27789.07</v>
      </c>
    </row>
    <row r="25" spans="1:9" x14ac:dyDescent="0.25">
      <c r="A25" s="298"/>
      <c r="B25" s="215" t="s">
        <v>528</v>
      </c>
      <c r="C25" s="301"/>
      <c r="D25" s="311"/>
      <c r="E25" s="280" t="s">
        <v>358</v>
      </c>
      <c r="F25" s="281"/>
      <c r="G25" s="242">
        <f>'BDI - Subitens Mat e Insumos'!C10</f>
        <v>0.10890619719771633</v>
      </c>
      <c r="H25" s="258">
        <f>ROUND(H24*G25,2)</f>
        <v>3026.4</v>
      </c>
    </row>
    <row r="26" spans="1:9" x14ac:dyDescent="0.25">
      <c r="A26" s="299"/>
      <c r="B26" s="243"/>
      <c r="C26" s="302"/>
      <c r="D26" s="312"/>
      <c r="E26" s="280" t="s">
        <v>376</v>
      </c>
      <c r="F26" s="303"/>
      <c r="G26" s="281"/>
      <c r="H26" s="258">
        <f>H24+H25</f>
        <v>30815.47</v>
      </c>
    </row>
    <row r="27" spans="1:9" x14ac:dyDescent="0.25">
      <c r="A27" s="291">
        <v>6</v>
      </c>
      <c r="B27" s="244" t="s">
        <v>491</v>
      </c>
      <c r="C27" s="324" t="s">
        <v>468</v>
      </c>
      <c r="D27" s="291"/>
      <c r="E27" s="239" t="s">
        <v>345</v>
      </c>
      <c r="F27" s="233">
        <f>'Item 6'!E2</f>
        <v>1650</v>
      </c>
      <c r="G27" s="233">
        <f>F27*12</f>
        <v>19800</v>
      </c>
      <c r="H27" s="233">
        <f>'Item 6'!F2</f>
        <v>49500</v>
      </c>
      <c r="I27" s="245"/>
    </row>
    <row r="28" spans="1:9" x14ac:dyDescent="0.25">
      <c r="A28" s="292"/>
      <c r="B28" s="244" t="s">
        <v>492</v>
      </c>
      <c r="C28" s="325"/>
      <c r="D28" s="292"/>
      <c r="E28" s="317" t="s">
        <v>358</v>
      </c>
      <c r="F28" s="318"/>
      <c r="G28" s="232">
        <f>'BDI - Subitens Serviços'!C10</f>
        <v>0.2669141020689656</v>
      </c>
      <c r="H28" s="233">
        <f>ROUND(H27*G28,2)</f>
        <v>13212.25</v>
      </c>
    </row>
    <row r="29" spans="1:9" x14ac:dyDescent="0.25">
      <c r="A29" s="293"/>
      <c r="B29" s="244"/>
      <c r="C29" s="326"/>
      <c r="D29" s="293"/>
      <c r="E29" s="317" t="s">
        <v>376</v>
      </c>
      <c r="F29" s="322"/>
      <c r="G29" s="318"/>
      <c r="H29" s="233">
        <f>H27+H28</f>
        <v>62712.25</v>
      </c>
    </row>
    <row r="30" spans="1:9" x14ac:dyDescent="0.25">
      <c r="A30" s="323">
        <v>7</v>
      </c>
      <c r="B30" s="246" t="s">
        <v>529</v>
      </c>
      <c r="C30" s="323" t="s">
        <v>469</v>
      </c>
      <c r="D30" s="323"/>
      <c r="E30" s="235" t="s">
        <v>617</v>
      </c>
      <c r="F30" s="236" t="s">
        <v>169</v>
      </c>
      <c r="G30" s="236" t="s">
        <v>169</v>
      </c>
      <c r="H30" s="236">
        <f>'Item 7'!G2</f>
        <v>35046</v>
      </c>
    </row>
    <row r="31" spans="1:9" x14ac:dyDescent="0.25">
      <c r="A31" s="323"/>
      <c r="B31" s="246" t="s">
        <v>530</v>
      </c>
      <c r="C31" s="323"/>
      <c r="D31" s="323"/>
      <c r="E31" s="327" t="s">
        <v>358</v>
      </c>
      <c r="F31" s="328"/>
      <c r="G31" s="237">
        <f>'BDI - Subitens Serviços'!C10</f>
        <v>0.2669141020689656</v>
      </c>
      <c r="H31" s="236">
        <f>ROUND(H30*G31,2)</f>
        <v>9354.27</v>
      </c>
    </row>
    <row r="32" spans="1:9" x14ac:dyDescent="0.25">
      <c r="A32" s="323"/>
      <c r="B32" s="247"/>
      <c r="C32" s="323"/>
      <c r="D32" s="323"/>
      <c r="E32" s="327" t="s">
        <v>376</v>
      </c>
      <c r="F32" s="329"/>
      <c r="G32" s="328"/>
      <c r="H32" s="236">
        <f>H30+H31</f>
        <v>44400.270000000004</v>
      </c>
    </row>
    <row r="33" spans="1:8" ht="25.5" x14ac:dyDescent="0.25">
      <c r="A33" s="342">
        <v>8</v>
      </c>
      <c r="B33" s="248" t="s">
        <v>535</v>
      </c>
      <c r="C33" s="316" t="s">
        <v>531</v>
      </c>
      <c r="D33" s="316"/>
      <c r="E33" s="181" t="s">
        <v>602</v>
      </c>
      <c r="F33" s="233" t="s">
        <v>169</v>
      </c>
      <c r="G33" s="233" t="s">
        <v>169</v>
      </c>
      <c r="H33" s="207">
        <f>3*233.94</f>
        <v>701.81999999999994</v>
      </c>
    </row>
    <row r="34" spans="1:8" x14ac:dyDescent="0.25">
      <c r="A34" s="343"/>
      <c r="B34" s="248" t="s">
        <v>536</v>
      </c>
      <c r="C34" s="316"/>
      <c r="D34" s="316"/>
      <c r="E34" s="317" t="s">
        <v>358</v>
      </c>
      <c r="F34" s="318"/>
      <c r="G34" s="232">
        <f>'BDI - Subitens Serviços'!C10</f>
        <v>0.2669141020689656</v>
      </c>
      <c r="H34" s="207">
        <f>G34*H33</f>
        <v>187.32565511404141</v>
      </c>
    </row>
    <row r="35" spans="1:8" x14ac:dyDescent="0.25">
      <c r="A35" s="344"/>
      <c r="B35" s="249"/>
      <c r="C35" s="316"/>
      <c r="D35" s="316"/>
      <c r="E35" s="317" t="s">
        <v>376</v>
      </c>
      <c r="F35" s="322"/>
      <c r="G35" s="318"/>
      <c r="H35" s="207">
        <f>H33+H34</f>
        <v>889.14565511404135</v>
      </c>
    </row>
    <row r="36" spans="1:8" x14ac:dyDescent="0.25">
      <c r="A36" s="330" t="s">
        <v>465</v>
      </c>
      <c r="B36" s="331"/>
      <c r="C36" s="331"/>
      <c r="D36" s="331"/>
      <c r="E36" s="331"/>
      <c r="F36" s="331"/>
      <c r="G36" s="332"/>
      <c r="H36" s="250">
        <f>H8+H13+H18+H21+H26+H29+H32+H35</f>
        <v>737673.40511011076</v>
      </c>
    </row>
    <row r="41" spans="1:8" x14ac:dyDescent="0.25">
      <c r="E41" s="245"/>
    </row>
  </sheetData>
  <sheetProtection algorithmName="SHA-512" hashValue="d+v/S8abCHh5UuCcmdjLpwTUGn9YXNyeqUmv5+Wybq0asdesafuDwOyA+dtA0K1LcWnCyTnMDPBUnxIcnZpLjg==" saltValue="RX3CC4MTpQuLWYItGrTyoA==" spinCount="100000" sheet="1" objects="1" scenarios="1"/>
  <mergeCells count="42">
    <mergeCell ref="A36:G36"/>
    <mergeCell ref="E34:F34"/>
    <mergeCell ref="E35:G35"/>
    <mergeCell ref="A14:A18"/>
    <mergeCell ref="C14:C18"/>
    <mergeCell ref="D14:D18"/>
    <mergeCell ref="E15:F15"/>
    <mergeCell ref="E16:G16"/>
    <mergeCell ref="E17:F17"/>
    <mergeCell ref="E18:G18"/>
    <mergeCell ref="E29:G29"/>
    <mergeCell ref="A33:A35"/>
    <mergeCell ref="C33:D35"/>
    <mergeCell ref="B9:B11"/>
    <mergeCell ref="E20:F20"/>
    <mergeCell ref="D13:G13"/>
    <mergeCell ref="E21:G21"/>
    <mergeCell ref="A30:A32"/>
    <mergeCell ref="C30:D32"/>
    <mergeCell ref="E24:G24"/>
    <mergeCell ref="E23:F23"/>
    <mergeCell ref="C27:D29"/>
    <mergeCell ref="A27:A29"/>
    <mergeCell ref="E28:F28"/>
    <mergeCell ref="E31:F31"/>
    <mergeCell ref="E32:G32"/>
    <mergeCell ref="H9:H11"/>
    <mergeCell ref="E25:F25"/>
    <mergeCell ref="A1:H1"/>
    <mergeCell ref="A2:H2"/>
    <mergeCell ref="A4:H4"/>
    <mergeCell ref="A6:H6"/>
    <mergeCell ref="A19:A21"/>
    <mergeCell ref="C19:C21"/>
    <mergeCell ref="A22:A26"/>
    <mergeCell ref="C22:C26"/>
    <mergeCell ref="E26:G26"/>
    <mergeCell ref="G9:G11"/>
    <mergeCell ref="A9:A13"/>
    <mergeCell ref="C9:C13"/>
    <mergeCell ref="D22:D26"/>
    <mergeCell ref="D19:D21"/>
  </mergeCells>
  <pageMargins left="0.51181102362204722" right="0.51181102362204722" top="0.78740157480314965" bottom="0.78740157480314965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3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9.140625" style="110"/>
    <col min="2" max="2" width="43.42578125" style="110" customWidth="1"/>
    <col min="3" max="3" width="9.140625" style="110"/>
    <col min="4" max="4" width="16.140625" style="110" customWidth="1"/>
    <col min="5" max="5" width="22.42578125" style="110" customWidth="1"/>
    <col min="6" max="6" width="14.28515625" style="110" customWidth="1"/>
    <col min="7" max="7" width="21.140625" style="110" customWidth="1"/>
    <col min="8" max="16384" width="9.140625" style="110"/>
  </cols>
  <sheetData>
    <row r="1" spans="1:7" x14ac:dyDescent="0.25">
      <c r="A1" s="666" t="s">
        <v>604</v>
      </c>
      <c r="B1" s="666"/>
      <c r="C1" s="666"/>
      <c r="D1" s="666"/>
      <c r="E1" s="666"/>
      <c r="F1" s="666"/>
      <c r="G1" s="666"/>
    </row>
    <row r="2" spans="1:7" ht="45" x14ac:dyDescent="0.25">
      <c r="A2" s="182" t="s">
        <v>292</v>
      </c>
      <c r="B2" s="182" t="s">
        <v>354</v>
      </c>
      <c r="C2" s="182" t="s">
        <v>355</v>
      </c>
      <c r="D2" s="183" t="s">
        <v>476</v>
      </c>
      <c r="E2" s="183" t="s">
        <v>471</v>
      </c>
      <c r="F2" s="183" t="s">
        <v>356</v>
      </c>
      <c r="G2" s="183" t="s">
        <v>472</v>
      </c>
    </row>
    <row r="3" spans="1:7" x14ac:dyDescent="0.25">
      <c r="A3" s="654">
        <v>1</v>
      </c>
      <c r="B3" s="654" t="s">
        <v>362</v>
      </c>
      <c r="C3" s="654" t="s">
        <v>363</v>
      </c>
      <c r="D3" s="654">
        <v>100306</v>
      </c>
      <c r="E3" s="665">
        <f>(10*30)</f>
        <v>300</v>
      </c>
      <c r="F3" s="205">
        <v>112.85</v>
      </c>
      <c r="G3" s="206">
        <f>ROUND(E3*F3,2)</f>
        <v>33855</v>
      </c>
    </row>
    <row r="4" spans="1:7" x14ac:dyDescent="0.25">
      <c r="A4" s="654">
        <v>2</v>
      </c>
      <c r="B4" s="654" t="s">
        <v>364</v>
      </c>
      <c r="C4" s="654">
        <v>3131</v>
      </c>
      <c r="D4" s="654">
        <v>88264</v>
      </c>
      <c r="E4" s="665">
        <f>6*30</f>
        <v>180</v>
      </c>
      <c r="F4" s="205">
        <v>28.16</v>
      </c>
      <c r="G4" s="206">
        <f>ROUND(E4*F4,2)</f>
        <v>5068.8</v>
      </c>
    </row>
    <row r="5" spans="1:7" ht="30" x14ac:dyDescent="0.25">
      <c r="A5" s="654">
        <v>3</v>
      </c>
      <c r="B5" s="189" t="s">
        <v>365</v>
      </c>
      <c r="C5" s="654" t="s">
        <v>351</v>
      </c>
      <c r="D5" s="654">
        <v>100308</v>
      </c>
      <c r="E5" s="665">
        <f>6*30</f>
        <v>180</v>
      </c>
      <c r="F5" s="205">
        <v>29.76</v>
      </c>
      <c r="G5" s="206">
        <f>ROUND(E5*F5,2)</f>
        <v>5356.8</v>
      </c>
    </row>
    <row r="6" spans="1:7" x14ac:dyDescent="0.25">
      <c r="A6" s="594" t="s">
        <v>357</v>
      </c>
      <c r="B6" s="595"/>
      <c r="C6" s="595"/>
      <c r="D6" s="595"/>
      <c r="E6" s="595"/>
      <c r="F6" s="596"/>
      <c r="G6" s="207">
        <f>SUM(G3:G5)</f>
        <v>44280.600000000006</v>
      </c>
    </row>
    <row r="7" spans="1:7" x14ac:dyDescent="0.25">
      <c r="A7" s="597" t="s">
        <v>358</v>
      </c>
      <c r="B7" s="598"/>
      <c r="C7" s="598"/>
      <c r="D7" s="598"/>
      <c r="E7" s="598"/>
      <c r="F7" s="208">
        <f>'BDI - Subitens Serviços'!C10</f>
        <v>0.2669141020689656</v>
      </c>
      <c r="G7" s="209">
        <f>ROUND(G6*F7,2)</f>
        <v>11819.12</v>
      </c>
    </row>
    <row r="8" spans="1:7" x14ac:dyDescent="0.25">
      <c r="A8" s="667" t="s">
        <v>359</v>
      </c>
      <c r="B8" s="667"/>
      <c r="C8" s="667"/>
      <c r="D8" s="667"/>
      <c r="E8" s="667"/>
      <c r="F8" s="667"/>
      <c r="G8" s="210">
        <f>G6+G7</f>
        <v>56099.720000000008</v>
      </c>
    </row>
    <row r="9" spans="1:7" x14ac:dyDescent="0.25">
      <c r="A9" s="668"/>
      <c r="B9" s="669"/>
      <c r="C9" s="669"/>
      <c r="D9" s="669"/>
      <c r="E9" s="669"/>
      <c r="F9" s="669"/>
      <c r="G9" s="669"/>
    </row>
    <row r="10" spans="1:7" x14ac:dyDescent="0.25">
      <c r="A10" s="670" t="s">
        <v>598</v>
      </c>
      <c r="B10" s="671"/>
      <c r="C10" s="671"/>
      <c r="D10" s="671"/>
      <c r="E10" s="671"/>
      <c r="F10" s="671"/>
      <c r="G10" s="672"/>
    </row>
    <row r="11" spans="1:7" x14ac:dyDescent="0.25">
      <c r="A11" s="668"/>
      <c r="B11" s="669"/>
      <c r="C11" s="669"/>
      <c r="D11" s="669"/>
      <c r="E11" s="669"/>
      <c r="F11" s="669"/>
      <c r="G11" s="669"/>
    </row>
    <row r="12" spans="1:7" x14ac:dyDescent="0.25">
      <c r="A12" s="364" t="s">
        <v>360</v>
      </c>
      <c r="B12" s="364"/>
      <c r="C12" s="364"/>
      <c r="D12" s="364"/>
      <c r="E12" s="364"/>
      <c r="F12" s="364"/>
      <c r="G12" s="364"/>
    </row>
    <row r="13" spans="1:7" x14ac:dyDescent="0.25">
      <c r="A13" s="364" t="s">
        <v>361</v>
      </c>
      <c r="B13" s="364"/>
      <c r="C13" s="364"/>
      <c r="D13" s="364"/>
      <c r="E13" s="364"/>
      <c r="F13" s="364"/>
      <c r="G13" s="364"/>
    </row>
  </sheetData>
  <sheetProtection algorithmName="SHA-512" hashValue="w1u7GrgUJ8FOV3TQin9TzQQwRkgKe/12NSlVRqu04AF13jFHDcM16d5m8A2H/K7vuMGcoMRnPwPkGuH1HPjMFA==" saltValue="DiXcTOSv2DACLIsOhrJzIw==" spinCount="100000" sheet="1" objects="1" scenarios="1"/>
  <mergeCells count="7">
    <mergeCell ref="A1:G1"/>
    <mergeCell ref="A6:F6"/>
    <mergeCell ref="A8:F8"/>
    <mergeCell ref="A12:G12"/>
    <mergeCell ref="A13:G13"/>
    <mergeCell ref="A7:E7"/>
    <mergeCell ref="A10:G10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0"/>
  <sheetViews>
    <sheetView showGridLines="0" view="pageBreakPreview" zoomScaleNormal="100" zoomScaleSheetLayoutView="100" workbookViewId="0">
      <selection activeCell="K3" sqref="K3"/>
    </sheetView>
  </sheetViews>
  <sheetFormatPr defaultColWidth="8.7109375" defaultRowHeight="15" x14ac:dyDescent="0.25"/>
  <cols>
    <col min="1" max="1" width="8.85546875" style="674" bestFit="1" customWidth="1"/>
    <col min="2" max="2" width="59.7109375" style="690" customWidth="1"/>
    <col min="3" max="3" width="11" style="691" customWidth="1"/>
    <col min="4" max="4" width="13.42578125" style="692" customWidth="1"/>
    <col min="5" max="5" width="10.5703125" style="692" bestFit="1" customWidth="1"/>
    <col min="6" max="6" width="17.5703125" style="692" bestFit="1" customWidth="1"/>
    <col min="7" max="7" width="18" style="692" customWidth="1"/>
    <col min="8" max="8" width="12.140625" style="674" customWidth="1"/>
    <col min="9" max="16384" width="8.7109375" style="674"/>
  </cols>
  <sheetData>
    <row r="1" spans="1:7" x14ac:dyDescent="0.25">
      <c r="A1" s="673" t="s">
        <v>605</v>
      </c>
      <c r="B1" s="673"/>
      <c r="C1" s="673"/>
      <c r="D1" s="673"/>
      <c r="E1" s="673"/>
      <c r="F1" s="673"/>
      <c r="G1" s="673"/>
    </row>
    <row r="2" spans="1:7" ht="45" x14ac:dyDescent="0.25">
      <c r="A2" s="675" t="s">
        <v>262</v>
      </c>
      <c r="B2" s="676" t="s">
        <v>379</v>
      </c>
      <c r="C2" s="677" t="s">
        <v>261</v>
      </c>
      <c r="D2" s="677" t="s">
        <v>542</v>
      </c>
      <c r="E2" s="677" t="s">
        <v>266</v>
      </c>
      <c r="F2" s="678" t="s">
        <v>431</v>
      </c>
      <c r="G2" s="678" t="s">
        <v>592</v>
      </c>
    </row>
    <row r="3" spans="1:7" ht="60" x14ac:dyDescent="0.25">
      <c r="A3" s="679">
        <v>1</v>
      </c>
      <c r="B3" s="680" t="s">
        <v>606</v>
      </c>
      <c r="C3" s="681" t="s">
        <v>544</v>
      </c>
      <c r="D3" s="682">
        <v>1</v>
      </c>
      <c r="E3" s="683">
        <v>99201</v>
      </c>
      <c r="F3" s="693">
        <v>14143.65</v>
      </c>
      <c r="G3" s="684">
        <f t="shared" ref="G3:G33" si="0">D3*F3</f>
        <v>14143.65</v>
      </c>
    </row>
    <row r="4" spans="1:7" x14ac:dyDescent="0.25">
      <c r="A4" s="679">
        <v>2</v>
      </c>
      <c r="B4" s="685" t="s">
        <v>433</v>
      </c>
      <c r="C4" s="686" t="s">
        <v>261</v>
      </c>
      <c r="D4" s="682">
        <v>13</v>
      </c>
      <c r="E4" s="686">
        <v>150807</v>
      </c>
      <c r="F4" s="693">
        <v>674.56</v>
      </c>
      <c r="G4" s="684">
        <f t="shared" si="0"/>
        <v>8769.2799999999988</v>
      </c>
    </row>
    <row r="5" spans="1:7" x14ac:dyDescent="0.25">
      <c r="A5" s="679">
        <v>3</v>
      </c>
      <c r="B5" s="685" t="s">
        <v>434</v>
      </c>
      <c r="C5" s="686" t="s">
        <v>397</v>
      </c>
      <c r="D5" s="682">
        <v>125.00000000000001</v>
      </c>
      <c r="E5" s="686">
        <v>289275</v>
      </c>
      <c r="F5" s="693">
        <v>15.7</v>
      </c>
      <c r="G5" s="684">
        <f t="shared" si="0"/>
        <v>1962.5000000000002</v>
      </c>
    </row>
    <row r="6" spans="1:7" x14ac:dyDescent="0.25">
      <c r="A6" s="679">
        <v>4</v>
      </c>
      <c r="B6" s="685" t="s">
        <v>435</v>
      </c>
      <c r="C6" s="686" t="s">
        <v>397</v>
      </c>
      <c r="D6" s="682">
        <v>125.00000000000001</v>
      </c>
      <c r="E6" s="686">
        <v>338624</v>
      </c>
      <c r="F6" s="693">
        <v>26.13</v>
      </c>
      <c r="G6" s="684">
        <f t="shared" si="0"/>
        <v>3266.2500000000005</v>
      </c>
    </row>
    <row r="7" spans="1:7" x14ac:dyDescent="0.25">
      <c r="A7" s="679">
        <v>5</v>
      </c>
      <c r="B7" s="685" t="s">
        <v>436</v>
      </c>
      <c r="C7" s="686" t="s">
        <v>397</v>
      </c>
      <c r="D7" s="682">
        <v>125.00000000000001</v>
      </c>
      <c r="E7" s="686">
        <v>338625</v>
      </c>
      <c r="F7" s="693">
        <v>35.92</v>
      </c>
      <c r="G7" s="684">
        <f t="shared" si="0"/>
        <v>4490.0000000000009</v>
      </c>
    </row>
    <row r="8" spans="1:7" x14ac:dyDescent="0.25">
      <c r="A8" s="679">
        <v>6</v>
      </c>
      <c r="B8" s="685" t="s">
        <v>437</v>
      </c>
      <c r="C8" s="686" t="s">
        <v>261</v>
      </c>
      <c r="D8" s="682">
        <v>8</v>
      </c>
      <c r="E8" s="686">
        <v>418140</v>
      </c>
      <c r="F8" s="693">
        <v>33.64</v>
      </c>
      <c r="G8" s="684">
        <f t="shared" si="0"/>
        <v>269.12</v>
      </c>
    </row>
    <row r="9" spans="1:7" x14ac:dyDescent="0.25">
      <c r="A9" s="679">
        <v>7</v>
      </c>
      <c r="B9" s="685" t="s">
        <v>438</v>
      </c>
      <c r="C9" s="686" t="s">
        <v>261</v>
      </c>
      <c r="D9" s="682">
        <v>8</v>
      </c>
      <c r="E9" s="686">
        <v>99201</v>
      </c>
      <c r="F9" s="693">
        <v>36.770000000000003</v>
      </c>
      <c r="G9" s="684">
        <f t="shared" si="0"/>
        <v>294.16000000000003</v>
      </c>
    </row>
    <row r="10" spans="1:7" x14ac:dyDescent="0.25">
      <c r="A10" s="679">
        <v>8</v>
      </c>
      <c r="B10" s="685" t="s">
        <v>439</v>
      </c>
      <c r="C10" s="686" t="s">
        <v>261</v>
      </c>
      <c r="D10" s="682">
        <v>8</v>
      </c>
      <c r="E10" s="686">
        <v>99201</v>
      </c>
      <c r="F10" s="693">
        <v>57.07</v>
      </c>
      <c r="G10" s="684">
        <f t="shared" si="0"/>
        <v>456.56</v>
      </c>
    </row>
    <row r="11" spans="1:7" x14ac:dyDescent="0.25">
      <c r="A11" s="679">
        <v>9</v>
      </c>
      <c r="B11" s="687" t="s">
        <v>440</v>
      </c>
      <c r="C11" s="686" t="s">
        <v>261</v>
      </c>
      <c r="D11" s="682">
        <v>8</v>
      </c>
      <c r="E11" s="679">
        <v>99201</v>
      </c>
      <c r="F11" s="693">
        <v>24.18</v>
      </c>
      <c r="G11" s="684">
        <f t="shared" si="0"/>
        <v>193.44</v>
      </c>
    </row>
    <row r="12" spans="1:7" x14ac:dyDescent="0.25">
      <c r="A12" s="679">
        <v>10</v>
      </c>
      <c r="B12" s="685" t="s">
        <v>441</v>
      </c>
      <c r="C12" s="686" t="s">
        <v>261</v>
      </c>
      <c r="D12" s="682">
        <v>8</v>
      </c>
      <c r="E12" s="682">
        <v>150333</v>
      </c>
      <c r="F12" s="693">
        <v>28.28</v>
      </c>
      <c r="G12" s="684">
        <f t="shared" si="0"/>
        <v>226.24</v>
      </c>
    </row>
    <row r="13" spans="1:7" ht="30" x14ac:dyDescent="0.25">
      <c r="A13" s="679">
        <v>11</v>
      </c>
      <c r="B13" s="687" t="s">
        <v>442</v>
      </c>
      <c r="C13" s="686" t="s">
        <v>261</v>
      </c>
      <c r="D13" s="682">
        <v>5</v>
      </c>
      <c r="E13" s="679">
        <v>442031</v>
      </c>
      <c r="F13" s="693">
        <v>327.20999999999998</v>
      </c>
      <c r="G13" s="684">
        <f t="shared" si="0"/>
        <v>1636.05</v>
      </c>
    </row>
    <row r="14" spans="1:7" ht="30" x14ac:dyDescent="0.25">
      <c r="A14" s="679">
        <v>12</v>
      </c>
      <c r="B14" s="687" t="s">
        <v>443</v>
      </c>
      <c r="C14" s="686" t="s">
        <v>261</v>
      </c>
      <c r="D14" s="682">
        <v>5</v>
      </c>
      <c r="E14" s="679">
        <v>442093</v>
      </c>
      <c r="F14" s="693">
        <v>1001.82</v>
      </c>
      <c r="G14" s="684">
        <f t="shared" si="0"/>
        <v>5009.1000000000004</v>
      </c>
    </row>
    <row r="15" spans="1:7" ht="30" x14ac:dyDescent="0.25">
      <c r="A15" s="679">
        <v>13</v>
      </c>
      <c r="B15" s="688" t="s">
        <v>444</v>
      </c>
      <c r="C15" s="681" t="s">
        <v>607</v>
      </c>
      <c r="D15" s="682">
        <v>28</v>
      </c>
      <c r="E15" s="679">
        <v>366180</v>
      </c>
      <c r="F15" s="693">
        <v>28.82</v>
      </c>
      <c r="G15" s="684">
        <f t="shared" si="0"/>
        <v>806.96</v>
      </c>
    </row>
    <row r="16" spans="1:7" ht="30" x14ac:dyDescent="0.25">
      <c r="A16" s="679">
        <v>14</v>
      </c>
      <c r="B16" s="688" t="s">
        <v>608</v>
      </c>
      <c r="C16" s="681" t="s">
        <v>445</v>
      </c>
      <c r="D16" s="682">
        <v>3</v>
      </c>
      <c r="E16" s="679">
        <v>288176</v>
      </c>
      <c r="F16" s="693">
        <v>612.16</v>
      </c>
      <c r="G16" s="684">
        <f t="shared" si="0"/>
        <v>1836.48</v>
      </c>
    </row>
    <row r="17" spans="1:7" ht="30" x14ac:dyDescent="0.25">
      <c r="A17" s="679">
        <v>15</v>
      </c>
      <c r="B17" s="688" t="s">
        <v>446</v>
      </c>
      <c r="C17" s="681" t="s">
        <v>447</v>
      </c>
      <c r="D17" s="682">
        <v>3</v>
      </c>
      <c r="E17" s="679">
        <v>400047</v>
      </c>
      <c r="F17" s="693">
        <v>592.29999999999995</v>
      </c>
      <c r="G17" s="684">
        <f t="shared" si="0"/>
        <v>1776.8999999999999</v>
      </c>
    </row>
    <row r="18" spans="1:7" x14ac:dyDescent="0.25">
      <c r="A18" s="679">
        <v>16</v>
      </c>
      <c r="B18" s="685" t="s">
        <v>448</v>
      </c>
      <c r="C18" s="686" t="s">
        <v>261</v>
      </c>
      <c r="D18" s="682">
        <v>5</v>
      </c>
      <c r="E18" s="679">
        <v>81205</v>
      </c>
      <c r="F18" s="693">
        <v>87.36</v>
      </c>
      <c r="G18" s="684">
        <f t="shared" si="0"/>
        <v>436.8</v>
      </c>
    </row>
    <row r="19" spans="1:7" ht="105" x14ac:dyDescent="0.25">
      <c r="A19" s="679">
        <v>17</v>
      </c>
      <c r="B19" s="689" t="s">
        <v>449</v>
      </c>
      <c r="C19" s="681" t="s">
        <v>412</v>
      </c>
      <c r="D19" s="682">
        <v>3</v>
      </c>
      <c r="E19" s="683">
        <v>258494</v>
      </c>
      <c r="F19" s="693">
        <v>4374.84</v>
      </c>
      <c r="G19" s="684">
        <f t="shared" si="0"/>
        <v>13124.52</v>
      </c>
    </row>
    <row r="20" spans="1:7" ht="105" x14ac:dyDescent="0.25">
      <c r="A20" s="679">
        <v>18</v>
      </c>
      <c r="B20" s="687" t="s">
        <v>450</v>
      </c>
      <c r="C20" s="681" t="s">
        <v>412</v>
      </c>
      <c r="D20" s="682">
        <v>5</v>
      </c>
      <c r="E20" s="683">
        <v>470950</v>
      </c>
      <c r="F20" s="693">
        <v>2959.92</v>
      </c>
      <c r="G20" s="684">
        <f t="shared" si="0"/>
        <v>14799.6</v>
      </c>
    </row>
    <row r="21" spans="1:7" ht="105" x14ac:dyDescent="0.25">
      <c r="A21" s="679">
        <v>19</v>
      </c>
      <c r="B21" s="689" t="s">
        <v>451</v>
      </c>
      <c r="C21" s="681" t="s">
        <v>412</v>
      </c>
      <c r="D21" s="682">
        <v>3</v>
      </c>
      <c r="E21" s="683">
        <v>301363</v>
      </c>
      <c r="F21" s="693">
        <v>2290.12</v>
      </c>
      <c r="G21" s="684">
        <f t="shared" si="0"/>
        <v>6870.36</v>
      </c>
    </row>
    <row r="22" spans="1:7" ht="93.75" customHeight="1" x14ac:dyDescent="0.25">
      <c r="A22" s="679">
        <v>20</v>
      </c>
      <c r="B22" s="689" t="s">
        <v>452</v>
      </c>
      <c r="C22" s="681" t="s">
        <v>453</v>
      </c>
      <c r="D22" s="682">
        <v>3</v>
      </c>
      <c r="E22" s="683">
        <v>301363</v>
      </c>
      <c r="F22" s="693">
        <v>2312.79</v>
      </c>
      <c r="G22" s="684">
        <f t="shared" si="0"/>
        <v>6938.37</v>
      </c>
    </row>
    <row r="23" spans="1:7" ht="45" x14ac:dyDescent="0.25">
      <c r="A23" s="679">
        <v>21</v>
      </c>
      <c r="B23" s="687" t="s">
        <v>454</v>
      </c>
      <c r="C23" s="686" t="s">
        <v>261</v>
      </c>
      <c r="D23" s="682">
        <v>8</v>
      </c>
      <c r="E23" s="679">
        <v>409823</v>
      </c>
      <c r="F23" s="693">
        <v>2682.51</v>
      </c>
      <c r="G23" s="684">
        <f t="shared" si="0"/>
        <v>21460.080000000002</v>
      </c>
    </row>
    <row r="24" spans="1:7" ht="30" x14ac:dyDescent="0.25">
      <c r="A24" s="679">
        <v>22</v>
      </c>
      <c r="B24" s="685" t="s">
        <v>455</v>
      </c>
      <c r="C24" s="686" t="s">
        <v>261</v>
      </c>
      <c r="D24" s="682">
        <v>5</v>
      </c>
      <c r="E24" s="679">
        <v>81000</v>
      </c>
      <c r="F24" s="693">
        <v>39.380000000000003</v>
      </c>
      <c r="G24" s="684">
        <f t="shared" si="0"/>
        <v>196.9</v>
      </c>
    </row>
    <row r="25" spans="1:7" ht="30" x14ac:dyDescent="0.25">
      <c r="A25" s="679">
        <v>23</v>
      </c>
      <c r="B25" s="685" t="s">
        <v>456</v>
      </c>
      <c r="C25" s="686" t="s">
        <v>261</v>
      </c>
      <c r="D25" s="682">
        <v>5</v>
      </c>
      <c r="E25" s="679">
        <v>81000</v>
      </c>
      <c r="F25" s="693">
        <v>39.380000000000003</v>
      </c>
      <c r="G25" s="684">
        <f t="shared" si="0"/>
        <v>196.9</v>
      </c>
    </row>
    <row r="26" spans="1:7" ht="30" x14ac:dyDescent="0.25">
      <c r="A26" s="679">
        <v>24</v>
      </c>
      <c r="B26" s="685" t="s">
        <v>457</v>
      </c>
      <c r="C26" s="686" t="s">
        <v>261</v>
      </c>
      <c r="D26" s="682">
        <v>5</v>
      </c>
      <c r="E26" s="679">
        <v>81000</v>
      </c>
      <c r="F26" s="693">
        <v>39.380000000000003</v>
      </c>
      <c r="G26" s="684">
        <f t="shared" si="0"/>
        <v>196.9</v>
      </c>
    </row>
    <row r="27" spans="1:7" x14ac:dyDescent="0.25">
      <c r="A27" s="679">
        <v>25</v>
      </c>
      <c r="B27" s="685" t="s">
        <v>458</v>
      </c>
      <c r="C27" s="686" t="s">
        <v>261</v>
      </c>
      <c r="D27" s="682">
        <v>10</v>
      </c>
      <c r="E27" s="682">
        <v>99201</v>
      </c>
      <c r="F27" s="693">
        <v>258.51</v>
      </c>
      <c r="G27" s="684">
        <f t="shared" si="0"/>
        <v>2585.1</v>
      </c>
    </row>
    <row r="28" spans="1:7" x14ac:dyDescent="0.25">
      <c r="A28" s="679">
        <v>26</v>
      </c>
      <c r="B28" s="685" t="s">
        <v>459</v>
      </c>
      <c r="C28" s="686" t="s">
        <v>261</v>
      </c>
      <c r="D28" s="682">
        <v>3</v>
      </c>
      <c r="E28" s="679">
        <v>150526</v>
      </c>
      <c r="F28" s="693">
        <v>421.88</v>
      </c>
      <c r="G28" s="684">
        <f t="shared" si="0"/>
        <v>1265.6399999999999</v>
      </c>
    </row>
    <row r="29" spans="1:7" ht="62.25" x14ac:dyDescent="0.25">
      <c r="A29" s="679">
        <v>27</v>
      </c>
      <c r="B29" s="687" t="s">
        <v>584</v>
      </c>
      <c r="C29" s="681" t="s">
        <v>412</v>
      </c>
      <c r="D29" s="682">
        <v>2</v>
      </c>
      <c r="E29" s="683">
        <v>99201</v>
      </c>
      <c r="F29" s="693">
        <v>1396.97</v>
      </c>
      <c r="G29" s="684">
        <f t="shared" si="0"/>
        <v>2793.94</v>
      </c>
    </row>
    <row r="30" spans="1:7" ht="62.25" x14ac:dyDescent="0.25">
      <c r="A30" s="679">
        <v>28</v>
      </c>
      <c r="B30" s="687" t="s">
        <v>585</v>
      </c>
      <c r="C30" s="681" t="s">
        <v>412</v>
      </c>
      <c r="D30" s="682">
        <v>2</v>
      </c>
      <c r="E30" s="683">
        <v>99201</v>
      </c>
      <c r="F30" s="693">
        <v>1383.28</v>
      </c>
      <c r="G30" s="684">
        <f t="shared" si="0"/>
        <v>2766.56</v>
      </c>
    </row>
    <row r="31" spans="1:7" ht="62.25" x14ac:dyDescent="0.25">
      <c r="A31" s="679">
        <v>29</v>
      </c>
      <c r="B31" s="687" t="s">
        <v>586</v>
      </c>
      <c r="C31" s="681" t="s">
        <v>412</v>
      </c>
      <c r="D31" s="682">
        <v>2</v>
      </c>
      <c r="E31" s="683">
        <v>99201</v>
      </c>
      <c r="F31" s="693">
        <v>1383.28</v>
      </c>
      <c r="G31" s="684">
        <f t="shared" si="0"/>
        <v>2766.56</v>
      </c>
    </row>
    <row r="32" spans="1:7" ht="62.25" x14ac:dyDescent="0.25">
      <c r="A32" s="679">
        <v>30</v>
      </c>
      <c r="B32" s="687" t="s">
        <v>587</v>
      </c>
      <c r="C32" s="681" t="s">
        <v>412</v>
      </c>
      <c r="D32" s="682">
        <v>2</v>
      </c>
      <c r="E32" s="683">
        <v>99201</v>
      </c>
      <c r="F32" s="693">
        <v>1396.97</v>
      </c>
      <c r="G32" s="684">
        <f t="shared" si="0"/>
        <v>2793.94</v>
      </c>
    </row>
    <row r="33" spans="1:7" ht="62.25" x14ac:dyDescent="0.25">
      <c r="A33" s="679">
        <v>31</v>
      </c>
      <c r="B33" s="687" t="s">
        <v>588</v>
      </c>
      <c r="C33" s="681" t="s">
        <v>412</v>
      </c>
      <c r="D33" s="682">
        <v>8</v>
      </c>
      <c r="E33" s="683">
        <v>99201</v>
      </c>
      <c r="F33" s="693">
        <v>1396.97</v>
      </c>
      <c r="G33" s="684">
        <f t="shared" si="0"/>
        <v>11175.76</v>
      </c>
    </row>
    <row r="34" spans="1:7" x14ac:dyDescent="0.25">
      <c r="A34" s="599" t="s">
        <v>590</v>
      </c>
      <c r="B34" s="599"/>
      <c r="C34" s="599"/>
      <c r="D34" s="599"/>
      <c r="E34" s="599"/>
      <c r="F34" s="599"/>
      <c r="G34" s="211">
        <f>SUM(G3:G33)</f>
        <v>135504.62</v>
      </c>
    </row>
    <row r="35" spans="1:7" x14ac:dyDescent="0.25">
      <c r="A35" s="600" t="s">
        <v>358</v>
      </c>
      <c r="B35" s="601"/>
      <c r="C35" s="601"/>
      <c r="D35" s="601"/>
      <c r="E35" s="601"/>
      <c r="F35" s="214">
        <f>'BDI - Subitens Mat e Insumos'!C10</f>
        <v>0.10890619719771633</v>
      </c>
      <c r="G35" s="212">
        <f>ROUND(G34*F35,2)</f>
        <v>14757.29</v>
      </c>
    </row>
    <row r="36" spans="1:7" x14ac:dyDescent="0.25">
      <c r="A36" s="569" t="s">
        <v>591</v>
      </c>
      <c r="B36" s="569"/>
      <c r="C36" s="569"/>
      <c r="D36" s="569"/>
      <c r="E36" s="569"/>
      <c r="F36" s="569"/>
      <c r="G36" s="196">
        <f>G34+G35</f>
        <v>150261.91</v>
      </c>
    </row>
    <row r="37" spans="1:7" x14ac:dyDescent="0.25">
      <c r="A37" s="174"/>
      <c r="B37" s="260"/>
      <c r="C37" s="259"/>
      <c r="D37" s="174"/>
      <c r="E37" s="174"/>
      <c r="F37" s="174"/>
      <c r="G37" s="175"/>
    </row>
    <row r="38" spans="1:7" x14ac:dyDescent="0.25">
      <c r="A38" s="174"/>
      <c r="B38" s="260"/>
      <c r="C38" s="259"/>
      <c r="D38" s="174"/>
      <c r="E38" s="174"/>
      <c r="F38" s="174"/>
      <c r="G38" s="213"/>
    </row>
    <row r="39" spans="1:7" x14ac:dyDescent="0.25">
      <c r="A39" s="364" t="s">
        <v>295</v>
      </c>
      <c r="B39" s="364"/>
      <c r="C39" s="364"/>
      <c r="D39" s="364"/>
      <c r="E39" s="364"/>
      <c r="F39" s="364"/>
      <c r="G39" s="364"/>
    </row>
    <row r="40" spans="1:7" x14ac:dyDescent="0.25">
      <c r="A40" s="364" t="s">
        <v>473</v>
      </c>
      <c r="B40" s="364"/>
      <c r="C40" s="364"/>
      <c r="D40" s="364"/>
      <c r="E40" s="364"/>
      <c r="F40" s="364"/>
      <c r="G40" s="364"/>
    </row>
  </sheetData>
  <sheetProtection algorithmName="SHA-512" hashValue="a23gpl1yBTLapiM54hVJtxANh04q+3rDvSnenPnE7Iy7PVAphRdU+gVOBBr58VD4dvU6kpxK7pKzP2J5tpybAA==" saltValue="k5ZUBhWR99JV+AUuMQb0tA==" spinCount="100000" sheet="1" objects="1" scenarios="1"/>
  <mergeCells count="6">
    <mergeCell ref="A40:G40"/>
    <mergeCell ref="A1:G1"/>
    <mergeCell ref="A34:F34"/>
    <mergeCell ref="A35:E35"/>
    <mergeCell ref="A36:F36"/>
    <mergeCell ref="A39:G39"/>
  </mergeCells>
  <pageMargins left="0.51181102362204722" right="0.51181102362204722" top="0.78740157480314965" bottom="0.78740157480314965" header="0.31496062992125984" footer="0.31496062992125984"/>
  <pageSetup paperSize="9" scale="6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6"/>
  <sheetViews>
    <sheetView showGridLines="0" view="pageBreakPreview" zoomScaleNormal="100" zoomScaleSheetLayoutView="100" workbookViewId="0">
      <selection activeCell="I6" sqref="I6"/>
    </sheetView>
  </sheetViews>
  <sheetFormatPr defaultRowHeight="15" x14ac:dyDescent="0.25"/>
  <cols>
    <col min="1" max="1" width="6.7109375" style="696" customWidth="1"/>
    <col min="2" max="2" width="34.140625" style="696" customWidth="1"/>
    <col min="3" max="3" width="12.42578125" style="696" customWidth="1"/>
    <col min="4" max="4" width="8.85546875" style="696" customWidth="1"/>
    <col min="5" max="5" width="14.140625" style="696" customWidth="1"/>
    <col min="6" max="6" width="15.7109375" style="696" customWidth="1"/>
    <col min="7" max="16384" width="9.140625" style="110"/>
  </cols>
  <sheetData>
    <row r="1" spans="1:7" ht="60" x14ac:dyDescent="0.25">
      <c r="A1" s="182" t="s">
        <v>262</v>
      </c>
      <c r="B1" s="182" t="s">
        <v>379</v>
      </c>
      <c r="C1" s="183" t="s">
        <v>460</v>
      </c>
      <c r="D1" s="183" t="s">
        <v>589</v>
      </c>
      <c r="E1" s="183" t="s">
        <v>494</v>
      </c>
      <c r="F1" s="183" t="s">
        <v>486</v>
      </c>
    </row>
    <row r="2" spans="1:7" ht="84" customHeight="1" x14ac:dyDescent="0.25">
      <c r="A2" s="694">
        <v>6</v>
      </c>
      <c r="B2" s="647" t="s">
        <v>468</v>
      </c>
      <c r="C2" s="189" t="s">
        <v>593</v>
      </c>
      <c r="D2" s="654">
        <v>30</v>
      </c>
      <c r="E2" s="697">
        <v>1650</v>
      </c>
      <c r="F2" s="695">
        <f>E2*D2</f>
        <v>49500</v>
      </c>
    </row>
    <row r="6" spans="1:7" x14ac:dyDescent="0.25">
      <c r="A6" s="586" t="s">
        <v>295</v>
      </c>
      <c r="B6" s="586"/>
      <c r="C6" s="586"/>
      <c r="D6" s="586"/>
      <c r="E6" s="586"/>
      <c r="F6" s="586"/>
      <c r="G6" s="216"/>
    </row>
  </sheetData>
  <sheetProtection algorithmName="SHA-512" hashValue="kBtmAtF3FZka1raBDj9ZOXJtrVQoSE4/fMDcu4TboMvXDIxtOYITyVtrB8CFBPaPFg3P9PuE3PfRw84bzZgn+A==" saltValue="Q1Lhn0Ak1fBprOWDnW4EJw==" spinCount="100000" sheet="1" objects="1" scenarios="1"/>
  <mergeCells count="1">
    <mergeCell ref="A6:F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"/>
  <sheetViews>
    <sheetView showGridLines="0" view="pageBreakPreview" zoomScaleNormal="100" zoomScaleSheetLayoutView="100" workbookViewId="0">
      <selection activeCell="I1" sqref="I1"/>
    </sheetView>
  </sheetViews>
  <sheetFormatPr defaultRowHeight="15" x14ac:dyDescent="0.25"/>
  <cols>
    <col min="1" max="1" width="8" style="110" customWidth="1"/>
    <col min="2" max="2" width="24.5703125" style="110" customWidth="1"/>
    <col min="3" max="3" width="17.5703125" style="110" customWidth="1"/>
    <col min="4" max="4" width="14.5703125" style="110" customWidth="1"/>
    <col min="5" max="5" width="16.85546875" style="110" customWidth="1"/>
    <col min="6" max="6" width="12" style="110" customWidth="1"/>
    <col min="7" max="7" width="20.28515625" style="110" customWidth="1"/>
    <col min="8" max="16384" width="9.140625" style="110"/>
  </cols>
  <sheetData>
    <row r="1" spans="1:8" ht="99.75" customHeight="1" x14ac:dyDescent="0.25">
      <c r="A1" s="182" t="s">
        <v>262</v>
      </c>
      <c r="B1" s="182" t="s">
        <v>379</v>
      </c>
      <c r="C1" s="183" t="s">
        <v>616</v>
      </c>
      <c r="D1" s="183" t="s">
        <v>460</v>
      </c>
      <c r="E1" s="183" t="s">
        <v>461</v>
      </c>
      <c r="F1" s="183" t="s">
        <v>495</v>
      </c>
      <c r="G1" s="183" t="s">
        <v>543</v>
      </c>
    </row>
    <row r="2" spans="1:8" ht="45.75" customHeight="1" x14ac:dyDescent="0.25">
      <c r="A2" s="647">
        <v>7</v>
      </c>
      <c r="B2" s="654" t="s">
        <v>346</v>
      </c>
      <c r="C2" s="654">
        <v>2</v>
      </c>
      <c r="D2" s="189" t="s">
        <v>462</v>
      </c>
      <c r="E2" s="654">
        <v>1100</v>
      </c>
      <c r="F2" s="697">
        <v>15.93</v>
      </c>
      <c r="G2" s="695">
        <f>F2*E2*C2</f>
        <v>35046</v>
      </c>
    </row>
    <row r="3" spans="1:8" x14ac:dyDescent="0.25">
      <c r="A3" s="698"/>
      <c r="B3" s="698"/>
      <c r="C3" s="698"/>
      <c r="D3" s="698"/>
      <c r="E3" s="698"/>
      <c r="F3" s="698"/>
      <c r="G3" s="698"/>
    </row>
    <row r="4" spans="1:8" x14ac:dyDescent="0.25">
      <c r="A4" s="364" t="s">
        <v>295</v>
      </c>
      <c r="B4" s="364"/>
      <c r="C4" s="364"/>
      <c r="D4" s="364"/>
      <c r="E4" s="364"/>
      <c r="F4" s="364"/>
      <c r="G4" s="364"/>
      <c r="H4" s="216"/>
    </row>
  </sheetData>
  <sheetProtection algorithmName="SHA-512" hashValue="UhGmRkfwHTOJfwVFQu7nxusWDbsSbyv69kWIdKmKB2G8k9pWiLDXfTo5OQ5xkv31UlJ95TIhAIpxS2vidA63cA==" saltValue="4NRM2jevx0FtPcXTaoHejg==" spinCount="100000" sheet="1" objects="1" scenarios="1"/>
  <mergeCells count="2">
    <mergeCell ref="A3:G3"/>
    <mergeCell ref="A4:G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17"/>
  <sheetViews>
    <sheetView showGridLines="0" view="pageBreakPreview" zoomScaleNormal="100" zoomScaleSheetLayoutView="100" workbookViewId="0">
      <selection activeCell="K7" sqref="K7"/>
    </sheetView>
  </sheetViews>
  <sheetFormatPr defaultRowHeight="15" x14ac:dyDescent="0.25"/>
  <cols>
    <col min="1" max="1" width="9.140625" style="702"/>
    <col min="2" max="2" width="39" style="702" customWidth="1"/>
    <col min="3" max="3" width="38.42578125" style="702" customWidth="1"/>
    <col min="4" max="16384" width="9.140625" style="702"/>
  </cols>
  <sheetData>
    <row r="1" spans="1:3" ht="15" customHeight="1" x14ac:dyDescent="0.25">
      <c r="A1" s="699" t="s">
        <v>594</v>
      </c>
      <c r="B1" s="700"/>
      <c r="C1" s="701"/>
    </row>
    <row r="2" spans="1:3" x14ac:dyDescent="0.25">
      <c r="A2" s="703" t="s">
        <v>1</v>
      </c>
      <c r="B2" s="704" t="s">
        <v>366</v>
      </c>
      <c r="C2" s="217">
        <v>0.04</v>
      </c>
    </row>
    <row r="3" spans="1:3" x14ac:dyDescent="0.25">
      <c r="A3" s="703" t="s">
        <v>3</v>
      </c>
      <c r="B3" s="704" t="s">
        <v>367</v>
      </c>
      <c r="C3" s="217">
        <v>8.0000000000000002E-3</v>
      </c>
    </row>
    <row r="4" spans="1:3" x14ac:dyDescent="0.25">
      <c r="A4" s="703" t="s">
        <v>5</v>
      </c>
      <c r="B4" s="704" t="s">
        <v>368</v>
      </c>
      <c r="C4" s="217">
        <v>1.8800000000000001E-2</v>
      </c>
    </row>
    <row r="5" spans="1:3" x14ac:dyDescent="0.25">
      <c r="A5" s="703" t="s">
        <v>6</v>
      </c>
      <c r="B5" s="704" t="s">
        <v>369</v>
      </c>
      <c r="C5" s="217">
        <v>9.7000000000000003E-3</v>
      </c>
    </row>
    <row r="6" spans="1:3" x14ac:dyDescent="0.25">
      <c r="A6" s="703" t="s">
        <v>8</v>
      </c>
      <c r="B6" s="704" t="s">
        <v>370</v>
      </c>
      <c r="C6" s="217">
        <v>7.3999999999999996E-2</v>
      </c>
    </row>
    <row r="7" spans="1:3" x14ac:dyDescent="0.25">
      <c r="A7" s="703" t="s">
        <v>10</v>
      </c>
      <c r="B7" s="704" t="s">
        <v>371</v>
      </c>
      <c r="C7" s="217">
        <v>0.05</v>
      </c>
    </row>
    <row r="8" spans="1:3" x14ac:dyDescent="0.25">
      <c r="A8" s="703" t="s">
        <v>11</v>
      </c>
      <c r="B8" s="704" t="s">
        <v>60</v>
      </c>
      <c r="C8" s="217">
        <v>6.4999999999999997E-3</v>
      </c>
    </row>
    <row r="9" spans="1:3" x14ac:dyDescent="0.25">
      <c r="A9" s="703" t="s">
        <v>12</v>
      </c>
      <c r="B9" s="704" t="s">
        <v>61</v>
      </c>
      <c r="C9" s="217">
        <v>0.03</v>
      </c>
    </row>
    <row r="10" spans="1:3" x14ac:dyDescent="0.25">
      <c r="A10" s="705" t="s">
        <v>372</v>
      </c>
      <c r="B10" s="705"/>
      <c r="C10" s="218">
        <f>((1+C2+C3+C5)*(1+C4)*(1+C6)/(1-(C7+C8+C9))-1)</f>
        <v>0.2669141020689656</v>
      </c>
    </row>
    <row r="11" spans="1:3" x14ac:dyDescent="0.25">
      <c r="A11" s="706"/>
      <c r="B11" s="706"/>
      <c r="C11" s="219"/>
    </row>
    <row r="12" spans="1:3" x14ac:dyDescent="0.25">
      <c r="A12" s="707" t="s">
        <v>373</v>
      </c>
      <c r="B12" s="707"/>
      <c r="C12" s="707"/>
    </row>
    <row r="13" spans="1:3" x14ac:dyDescent="0.25">
      <c r="A13" s="706"/>
      <c r="B13" s="706"/>
      <c r="C13" s="219"/>
    </row>
    <row r="15" spans="1:3" x14ac:dyDescent="0.25">
      <c r="A15" s="708" t="s">
        <v>374</v>
      </c>
      <c r="B15" s="708"/>
      <c r="C15" s="708"/>
    </row>
    <row r="17" spans="1:3" x14ac:dyDescent="0.25">
      <c r="A17" s="709" t="s">
        <v>595</v>
      </c>
      <c r="B17" s="710"/>
      <c r="C17" s="711"/>
    </row>
  </sheetData>
  <sheetProtection algorithmName="SHA-512" hashValue="ha9kj/DDY/tzOpafWbpqxL032XWWTnajRJxJptMMZy6UyASTgcPw/z1FjC+caNvaLTyqLOF4HMPwCV82C8FkMg==" saltValue="wzxDeYWc0ngwawdxSENyZw==" spinCount="100000" sheet="1" objects="1" scenarios="1"/>
  <mergeCells count="5">
    <mergeCell ref="A1:C1"/>
    <mergeCell ref="A10:B10"/>
    <mergeCell ref="A15:C15"/>
    <mergeCell ref="A12:C12"/>
    <mergeCell ref="A17:C17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17"/>
  <sheetViews>
    <sheetView showGridLines="0" view="pageBreakPreview" zoomScaleNormal="100" zoomScaleSheetLayoutView="100" workbookViewId="0">
      <selection activeCell="F7" sqref="F7"/>
    </sheetView>
  </sheetViews>
  <sheetFormatPr defaultRowHeight="15" x14ac:dyDescent="0.25"/>
  <cols>
    <col min="1" max="1" width="9.140625" style="110"/>
    <col min="2" max="2" width="38" style="110" customWidth="1"/>
    <col min="3" max="3" width="20.85546875" style="110" customWidth="1"/>
    <col min="4" max="16384" width="9.140625" style="110"/>
  </cols>
  <sheetData>
    <row r="1" spans="1:3" x14ac:dyDescent="0.25">
      <c r="A1" s="712" t="s">
        <v>377</v>
      </c>
      <c r="B1" s="712"/>
      <c r="C1" s="712"/>
    </row>
    <row r="2" spans="1:3" x14ac:dyDescent="0.25">
      <c r="A2" s="713" t="s">
        <v>1</v>
      </c>
      <c r="B2" s="172" t="s">
        <v>366</v>
      </c>
      <c r="C2" s="254">
        <v>1.4999999999999999E-2</v>
      </c>
    </row>
    <row r="3" spans="1:3" x14ac:dyDescent="0.25">
      <c r="A3" s="713" t="s">
        <v>3</v>
      </c>
      <c r="B3" s="172" t="s">
        <v>367</v>
      </c>
      <c r="C3" s="254">
        <v>3.0000000000000001E-3</v>
      </c>
    </row>
    <row r="4" spans="1:3" x14ac:dyDescent="0.25">
      <c r="A4" s="713" t="s">
        <v>5</v>
      </c>
      <c r="B4" s="172" t="s">
        <v>368</v>
      </c>
      <c r="C4" s="254">
        <v>8.5000000000000006E-3</v>
      </c>
    </row>
    <row r="5" spans="1:3" x14ac:dyDescent="0.25">
      <c r="A5" s="713" t="s">
        <v>6</v>
      </c>
      <c r="B5" s="172" t="s">
        <v>369</v>
      </c>
      <c r="C5" s="254">
        <v>5.5999999999999999E-3</v>
      </c>
    </row>
    <row r="6" spans="1:3" x14ac:dyDescent="0.25">
      <c r="A6" s="713" t="s">
        <v>8</v>
      </c>
      <c r="B6" s="172" t="s">
        <v>370</v>
      </c>
      <c r="C6" s="254">
        <v>3.5000000000000003E-2</v>
      </c>
    </row>
    <row r="7" spans="1:3" x14ac:dyDescent="0.25">
      <c r="A7" s="713" t="s">
        <v>10</v>
      </c>
      <c r="B7" s="172" t="s">
        <v>371</v>
      </c>
      <c r="C7" s="254">
        <v>0</v>
      </c>
    </row>
    <row r="8" spans="1:3" x14ac:dyDescent="0.25">
      <c r="A8" s="713" t="s">
        <v>11</v>
      </c>
      <c r="B8" s="172" t="s">
        <v>60</v>
      </c>
      <c r="C8" s="254">
        <v>6.4999999999999997E-3</v>
      </c>
    </row>
    <row r="9" spans="1:3" x14ac:dyDescent="0.25">
      <c r="A9" s="713" t="s">
        <v>12</v>
      </c>
      <c r="B9" s="172" t="s">
        <v>61</v>
      </c>
      <c r="C9" s="254">
        <v>0.03</v>
      </c>
    </row>
    <row r="10" spans="1:3" x14ac:dyDescent="0.25">
      <c r="A10" s="714" t="s">
        <v>372</v>
      </c>
      <c r="B10" s="714"/>
      <c r="C10" s="255">
        <f>((1+C2+C3+C5)*(1+C4)*(1+C6)/(1-(C7+C8+C9))-1)</f>
        <v>0.10890619719771633</v>
      </c>
    </row>
    <row r="11" spans="1:3" x14ac:dyDescent="0.25">
      <c r="A11" s="715"/>
      <c r="B11" s="715"/>
      <c r="C11" s="256"/>
    </row>
    <row r="12" spans="1:3" x14ac:dyDescent="0.25">
      <c r="A12" s="716" t="s">
        <v>378</v>
      </c>
      <c r="B12" s="715"/>
      <c r="C12" s="256"/>
    </row>
    <row r="13" spans="1:3" x14ac:dyDescent="0.25">
      <c r="A13" s="715"/>
      <c r="B13" s="715"/>
      <c r="C13" s="256"/>
    </row>
    <row r="15" spans="1:3" x14ac:dyDescent="0.25">
      <c r="A15" s="364" t="s">
        <v>374</v>
      </c>
      <c r="B15" s="364"/>
      <c r="C15" s="364"/>
    </row>
    <row r="17" spans="1:3" x14ac:dyDescent="0.25">
      <c r="A17" s="709" t="s">
        <v>596</v>
      </c>
      <c r="B17" s="710"/>
      <c r="C17" s="711"/>
    </row>
  </sheetData>
  <sheetProtection algorithmName="SHA-512" hashValue="OBsm5clQ0exkj/DjoaIgfOTCRrg8jsOP29hf2Y34Fo0S4BS/qwVYhQTNOfNbnH6ZCQFWqnuH16CSK/i2b3V1hw==" saltValue="USzZJSvj9ybYTrNalQfrHw==" spinCount="100000" sheet="1" objects="1" scenarios="1"/>
  <mergeCells count="4">
    <mergeCell ref="A1:C1"/>
    <mergeCell ref="A10:B10"/>
    <mergeCell ref="A15:C15"/>
    <mergeCell ref="A17:C17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9"/>
  <sheetViews>
    <sheetView tabSelected="1" view="pageBreakPreview" zoomScale="90" zoomScaleNormal="100" zoomScaleSheetLayoutView="90" workbookViewId="0">
      <selection activeCell="J14" sqref="J14"/>
    </sheetView>
  </sheetViews>
  <sheetFormatPr defaultRowHeight="15" x14ac:dyDescent="0.25"/>
  <cols>
    <col min="1" max="1" width="78.7109375" style="1" customWidth="1"/>
    <col min="2" max="16384" width="9.140625" style="1"/>
  </cols>
  <sheetData>
    <row r="1" spans="1:1" x14ac:dyDescent="0.25">
      <c r="A1" s="222" t="s">
        <v>537</v>
      </c>
    </row>
    <row r="2" spans="1:1" x14ac:dyDescent="0.25">
      <c r="A2" s="696"/>
    </row>
    <row r="3" spans="1:1" x14ac:dyDescent="0.25">
      <c r="A3" s="254">
        <v>0</v>
      </c>
    </row>
    <row r="4" spans="1:1" x14ac:dyDescent="0.25">
      <c r="A4" s="696"/>
    </row>
    <row r="5" spans="1:1" x14ac:dyDescent="0.25">
      <c r="A5" s="222" t="s">
        <v>538</v>
      </c>
    </row>
    <row r="6" spans="1:1" x14ac:dyDescent="0.25">
      <c r="A6" s="696"/>
    </row>
    <row r="7" spans="1:1" x14ac:dyDescent="0.25">
      <c r="A7" s="254">
        <v>0</v>
      </c>
    </row>
    <row r="8" spans="1:1" x14ac:dyDescent="0.25">
      <c r="A8" s="696"/>
    </row>
    <row r="9" spans="1:1" x14ac:dyDescent="0.25">
      <c r="A9" s="717" t="s">
        <v>295</v>
      </c>
    </row>
  </sheetData>
  <sheetProtection algorithmName="SHA-512" hashValue="AphbmX2+u57cx68Cl05vb7Wj9aPsTpwwNu5EDsr5AvBpQOpPhN4jIFsQ9Nw+up8XeDXEfUcZgglcUkKRODrjjw==" saltValue="KxyZXt3J6lLhu5gW8e4vEw==" spinCount="100000" sheet="1" objects="1" scenarios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15"/>
  <sheetViews>
    <sheetView workbookViewId="0">
      <selection activeCell="K17" sqref="K17"/>
    </sheetView>
  </sheetViews>
  <sheetFormatPr defaultRowHeight="15" x14ac:dyDescent="0.25"/>
  <cols>
    <col min="1" max="1" width="80.85546875" customWidth="1"/>
    <col min="2" max="2" width="11.42578125" bestFit="1" customWidth="1"/>
    <col min="3" max="3" width="13.42578125" customWidth="1"/>
  </cols>
  <sheetData>
    <row r="1" spans="1:6" ht="21" x14ac:dyDescent="0.35">
      <c r="A1" s="602" t="s">
        <v>199</v>
      </c>
      <c r="B1" s="602"/>
      <c r="C1" s="602"/>
    </row>
    <row r="2" spans="1:6" ht="45" x14ac:dyDescent="0.25">
      <c r="A2" s="49" t="s">
        <v>207</v>
      </c>
      <c r="B2" s="50" t="s">
        <v>175</v>
      </c>
      <c r="C2" s="59" t="s">
        <v>184</v>
      </c>
    </row>
    <row r="3" spans="1:6" x14ac:dyDescent="0.25">
      <c r="A3" s="604" t="s">
        <v>176</v>
      </c>
      <c r="B3" s="604"/>
      <c r="C3" s="604"/>
    </row>
    <row r="4" spans="1:6" x14ac:dyDescent="0.25">
      <c r="A4" s="51" t="s">
        <v>211</v>
      </c>
      <c r="B4" s="57">
        <v>225.61</v>
      </c>
      <c r="C4" s="60">
        <v>320</v>
      </c>
      <c r="E4" s="108">
        <f>B4/C4</f>
        <v>0.70503125</v>
      </c>
      <c r="F4" s="109"/>
    </row>
    <row r="5" spans="1:6" x14ac:dyDescent="0.25">
      <c r="A5" s="51" t="s">
        <v>177</v>
      </c>
      <c r="B5" s="57">
        <v>16.920000000000002</v>
      </c>
      <c r="C5" s="60">
        <v>90</v>
      </c>
      <c r="E5" s="108">
        <f t="shared" ref="E5:E13" si="0">B5/C5</f>
        <v>0.18800000000000003</v>
      </c>
      <c r="F5" s="109"/>
    </row>
    <row r="6" spans="1:6" x14ac:dyDescent="0.25">
      <c r="A6" s="605"/>
      <c r="B6" s="605"/>
      <c r="C6" s="605"/>
      <c r="E6" s="108"/>
      <c r="F6" s="109"/>
    </row>
    <row r="7" spans="1:6" x14ac:dyDescent="0.25">
      <c r="A7" s="604" t="s">
        <v>178</v>
      </c>
      <c r="B7" s="604"/>
      <c r="C7" s="604"/>
      <c r="E7" s="108"/>
      <c r="F7" s="109"/>
    </row>
    <row r="8" spans="1:6" x14ac:dyDescent="0.25">
      <c r="A8" s="51" t="s">
        <v>179</v>
      </c>
      <c r="B8" s="57">
        <v>100.47</v>
      </c>
      <c r="C8" s="60">
        <v>2500</v>
      </c>
      <c r="E8" s="108">
        <f t="shared" si="0"/>
        <v>4.0188000000000001E-2</v>
      </c>
      <c r="F8" s="109"/>
    </row>
    <row r="9" spans="1:6" x14ac:dyDescent="0.25">
      <c r="A9" s="51" t="s">
        <v>180</v>
      </c>
      <c r="B9" s="57">
        <v>49.35</v>
      </c>
      <c r="C9" s="60">
        <v>6000</v>
      </c>
      <c r="E9" s="108">
        <f t="shared" si="0"/>
        <v>8.2249999999999997E-3</v>
      </c>
      <c r="F9" s="109"/>
    </row>
    <row r="10" spans="1:6" x14ac:dyDescent="0.25">
      <c r="A10" s="51" t="s">
        <v>181</v>
      </c>
      <c r="B10" s="57">
        <v>40.69</v>
      </c>
      <c r="C10" s="60">
        <v>2500</v>
      </c>
      <c r="E10" s="108">
        <f t="shared" si="0"/>
        <v>1.6275999999999999E-2</v>
      </c>
      <c r="F10" s="109"/>
    </row>
    <row r="11" spans="1:6" x14ac:dyDescent="0.25">
      <c r="A11" s="51"/>
      <c r="B11" s="57"/>
      <c r="C11" s="60"/>
      <c r="E11" s="108"/>
      <c r="F11" s="109"/>
    </row>
    <row r="12" spans="1:6" x14ac:dyDescent="0.25">
      <c r="A12" s="604" t="s">
        <v>223</v>
      </c>
      <c r="B12" s="604"/>
      <c r="C12" s="604"/>
      <c r="E12" s="108"/>
      <c r="F12" s="109"/>
    </row>
    <row r="13" spans="1:6" x14ac:dyDescent="0.25">
      <c r="A13" s="51" t="s">
        <v>224</v>
      </c>
      <c r="B13" s="57">
        <v>83.03</v>
      </c>
      <c r="C13" s="60">
        <v>380</v>
      </c>
      <c r="E13" s="108">
        <f t="shared" si="0"/>
        <v>0.2185</v>
      </c>
      <c r="F13" s="109"/>
    </row>
    <row r="14" spans="1:6" x14ac:dyDescent="0.25">
      <c r="A14" s="603"/>
      <c r="B14" s="603"/>
      <c r="C14" s="603"/>
      <c r="E14" s="108"/>
      <c r="F14" s="109"/>
    </row>
    <row r="15" spans="1:6" x14ac:dyDescent="0.25">
      <c r="E15" s="108">
        <f>SUM(E4:E13)</f>
        <v>1.1762202500000001</v>
      </c>
    </row>
  </sheetData>
  <mergeCells count="6">
    <mergeCell ref="A1:C1"/>
    <mergeCell ref="A14:C14"/>
    <mergeCell ref="A3:C3"/>
    <mergeCell ref="A7:C7"/>
    <mergeCell ref="A6:C6"/>
    <mergeCell ref="A12:C12"/>
  </mergeCell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53"/>
  <sheetViews>
    <sheetView workbookViewId="0">
      <selection activeCell="K17" sqref="K17"/>
    </sheetView>
  </sheetViews>
  <sheetFormatPr defaultRowHeight="15" x14ac:dyDescent="0.25"/>
  <cols>
    <col min="1" max="1" width="15.7109375" bestFit="1" customWidth="1"/>
    <col min="2" max="2" width="24.28515625" customWidth="1"/>
    <col min="3" max="3" width="15.7109375" customWidth="1"/>
    <col min="4" max="4" width="16" customWidth="1"/>
    <col min="5" max="5" width="18.140625" customWidth="1"/>
    <col min="6" max="6" width="11.7109375" customWidth="1"/>
    <col min="7" max="7" width="14.28515625" customWidth="1"/>
    <col min="8" max="8" width="13.7109375" customWidth="1"/>
    <col min="11" max="11" width="10.140625" bestFit="1" customWidth="1"/>
  </cols>
  <sheetData>
    <row r="1" spans="1:5" x14ac:dyDescent="0.25">
      <c r="A1" s="615" t="s">
        <v>170</v>
      </c>
      <c r="B1" s="615"/>
      <c r="C1" s="615"/>
      <c r="D1" s="615"/>
      <c r="E1" s="615"/>
    </row>
    <row r="3" spans="1:5" x14ac:dyDescent="0.25">
      <c r="A3" s="606" t="s">
        <v>171</v>
      </c>
      <c r="B3" s="606"/>
      <c r="C3" s="606"/>
      <c r="D3" s="606"/>
      <c r="E3" s="606"/>
    </row>
    <row r="4" spans="1:5" x14ac:dyDescent="0.25">
      <c r="A4" s="72"/>
      <c r="B4" s="72"/>
      <c r="C4" s="72"/>
      <c r="D4" s="72"/>
      <c r="E4" s="72"/>
    </row>
    <row r="5" spans="1:5" x14ac:dyDescent="0.25">
      <c r="A5" s="607" t="s">
        <v>211</v>
      </c>
      <c r="B5" s="607"/>
      <c r="C5" s="607"/>
      <c r="D5" s="607"/>
      <c r="E5" s="607"/>
    </row>
    <row r="6" spans="1:5" ht="45" x14ac:dyDescent="0.25">
      <c r="A6" s="49" t="s">
        <v>209</v>
      </c>
      <c r="B6" s="49" t="s">
        <v>208</v>
      </c>
      <c r="C6" s="50" t="s">
        <v>185</v>
      </c>
      <c r="D6" s="50" t="s">
        <v>210</v>
      </c>
      <c r="E6" s="50" t="s">
        <v>186</v>
      </c>
    </row>
    <row r="7" spans="1:5" x14ac:dyDescent="0.25">
      <c r="A7" s="610">
        <f>'Produtividade IN 05-2017'!C4</f>
        <v>320</v>
      </c>
      <c r="B7" s="51" t="s">
        <v>245</v>
      </c>
      <c r="C7" s="74">
        <f>(1/(30*A7))</f>
        <v>1.0416666666666667E-4</v>
      </c>
      <c r="D7" s="52">
        <v>4286.6899999999996</v>
      </c>
      <c r="E7" s="53">
        <f>ROUND(C7*D7,2)</f>
        <v>0.45</v>
      </c>
    </row>
    <row r="8" spans="1:5" x14ac:dyDescent="0.25">
      <c r="A8" s="611"/>
      <c r="B8" s="51" t="s">
        <v>172</v>
      </c>
      <c r="C8" s="74">
        <f>(1/A7)</f>
        <v>3.1250000000000002E-3</v>
      </c>
      <c r="D8" s="52">
        <v>2962.78</v>
      </c>
      <c r="E8" s="53">
        <f>ROUND(C8*D8,2)</f>
        <v>9.26</v>
      </c>
    </row>
    <row r="9" spans="1:5" x14ac:dyDescent="0.25">
      <c r="A9" s="612" t="s">
        <v>173</v>
      </c>
      <c r="B9" s="613"/>
      <c r="C9" s="613"/>
      <c r="D9" s="614"/>
      <c r="E9" s="55">
        <f>SUM(E7:E8)</f>
        <v>9.7099999999999991</v>
      </c>
    </row>
    <row r="10" spans="1:5" x14ac:dyDescent="0.25">
      <c r="A10" s="72"/>
      <c r="B10" s="72"/>
      <c r="C10" s="72"/>
      <c r="D10" s="72"/>
      <c r="E10" s="72"/>
    </row>
    <row r="11" spans="1:5" x14ac:dyDescent="0.25">
      <c r="A11" s="607" t="s">
        <v>177</v>
      </c>
      <c r="B11" s="607"/>
      <c r="C11" s="607"/>
      <c r="D11" s="607"/>
      <c r="E11" s="607"/>
    </row>
    <row r="12" spans="1:5" ht="45" x14ac:dyDescent="0.25">
      <c r="A12" s="49" t="s">
        <v>209</v>
      </c>
      <c r="B12" s="49" t="s">
        <v>208</v>
      </c>
      <c r="C12" s="50" t="s">
        <v>185</v>
      </c>
      <c r="D12" s="50" t="s">
        <v>210</v>
      </c>
      <c r="E12" s="50" t="s">
        <v>186</v>
      </c>
    </row>
    <row r="13" spans="1:5" x14ac:dyDescent="0.25">
      <c r="A13" s="610">
        <f>'Produtividade IN 05-2017'!C5</f>
        <v>90</v>
      </c>
      <c r="B13" s="51" t="s">
        <v>245</v>
      </c>
      <c r="C13" s="74">
        <f>(1/(30*A13))</f>
        <v>3.7037037037037035E-4</v>
      </c>
      <c r="D13" s="52">
        <f>D7</f>
        <v>4286.6899999999996</v>
      </c>
      <c r="E13" s="53">
        <f>ROUND(C13*D13,2)</f>
        <v>1.59</v>
      </c>
    </row>
    <row r="14" spans="1:5" x14ac:dyDescent="0.25">
      <c r="A14" s="611"/>
      <c r="B14" s="51" t="s">
        <v>172</v>
      </c>
      <c r="C14" s="74">
        <f>(1/A13)</f>
        <v>1.1111111111111112E-2</v>
      </c>
      <c r="D14" s="52">
        <f>D8</f>
        <v>2962.78</v>
      </c>
      <c r="E14" s="53">
        <f>ROUND(C14*D14,2)</f>
        <v>32.92</v>
      </c>
    </row>
    <row r="15" spans="1:5" x14ac:dyDescent="0.25">
      <c r="A15" s="612" t="s">
        <v>173</v>
      </c>
      <c r="B15" s="613"/>
      <c r="C15" s="613"/>
      <c r="D15" s="614"/>
      <c r="E15" s="55">
        <f>SUM(E13:E14)</f>
        <v>34.510000000000005</v>
      </c>
    </row>
    <row r="17" spans="1:5" x14ac:dyDescent="0.25">
      <c r="A17" s="606" t="s">
        <v>174</v>
      </c>
      <c r="B17" s="606"/>
      <c r="C17" s="606"/>
      <c r="D17" s="606"/>
      <c r="E17" s="606"/>
    </row>
    <row r="19" spans="1:5" x14ac:dyDescent="0.25">
      <c r="A19" s="607" t="s">
        <v>179</v>
      </c>
      <c r="B19" s="607"/>
      <c r="C19" s="607"/>
      <c r="D19" s="607"/>
      <c r="E19" s="607"/>
    </row>
    <row r="20" spans="1:5" ht="45" x14ac:dyDescent="0.25">
      <c r="A20" s="49" t="s">
        <v>209</v>
      </c>
      <c r="B20" s="49" t="s">
        <v>208</v>
      </c>
      <c r="C20" s="50" t="s">
        <v>185</v>
      </c>
      <c r="D20" s="50" t="s">
        <v>210</v>
      </c>
      <c r="E20" s="50" t="s">
        <v>186</v>
      </c>
    </row>
    <row r="21" spans="1:5" x14ac:dyDescent="0.25">
      <c r="A21" s="610">
        <f>'Produtividade IN 05-2017'!C8</f>
        <v>2500</v>
      </c>
      <c r="B21" s="51" t="s">
        <v>245</v>
      </c>
      <c r="C21" s="74">
        <f>(1/(30*A21))</f>
        <v>1.3333333333333333E-5</v>
      </c>
      <c r="D21" s="52">
        <f>D7</f>
        <v>4286.6899999999996</v>
      </c>
      <c r="E21" s="53">
        <f>ROUND(C21*D21,2)</f>
        <v>0.06</v>
      </c>
    </row>
    <row r="22" spans="1:5" x14ac:dyDescent="0.25">
      <c r="A22" s="611"/>
      <c r="B22" s="51" t="s">
        <v>172</v>
      </c>
      <c r="C22" s="74">
        <f>(1/A21)</f>
        <v>4.0000000000000002E-4</v>
      </c>
      <c r="D22" s="52">
        <f>D8</f>
        <v>2962.78</v>
      </c>
      <c r="E22" s="53">
        <f>ROUND(C22*D22,2)</f>
        <v>1.19</v>
      </c>
    </row>
    <row r="23" spans="1:5" x14ac:dyDescent="0.25">
      <c r="A23" s="612" t="s">
        <v>173</v>
      </c>
      <c r="B23" s="613"/>
      <c r="C23" s="613"/>
      <c r="D23" s="614"/>
      <c r="E23" s="55">
        <f>SUM(E21:E22)</f>
        <v>1.25</v>
      </c>
    </row>
    <row r="25" spans="1:5" x14ac:dyDescent="0.25">
      <c r="A25" s="607" t="s">
        <v>180</v>
      </c>
      <c r="B25" s="607"/>
      <c r="C25" s="607"/>
      <c r="D25" s="607"/>
      <c r="E25" s="607"/>
    </row>
    <row r="26" spans="1:5" ht="45" x14ac:dyDescent="0.25">
      <c r="A26" s="49" t="s">
        <v>209</v>
      </c>
      <c r="B26" s="49" t="s">
        <v>208</v>
      </c>
      <c r="C26" s="50" t="s">
        <v>185</v>
      </c>
      <c r="D26" s="50" t="s">
        <v>210</v>
      </c>
      <c r="E26" s="50" t="s">
        <v>186</v>
      </c>
    </row>
    <row r="27" spans="1:5" x14ac:dyDescent="0.25">
      <c r="A27" s="610">
        <f>'Produtividade IN 05-2017'!C9</f>
        <v>6000</v>
      </c>
      <c r="B27" s="51" t="s">
        <v>245</v>
      </c>
      <c r="C27" s="74">
        <f>(1/(30*A27))</f>
        <v>5.5555555555555558E-6</v>
      </c>
      <c r="D27" s="52">
        <f>D7</f>
        <v>4286.6899999999996</v>
      </c>
      <c r="E27" s="53">
        <f>ROUND(C27*D27,2)</f>
        <v>0.02</v>
      </c>
    </row>
    <row r="28" spans="1:5" x14ac:dyDescent="0.25">
      <c r="A28" s="611"/>
      <c r="B28" s="51" t="s">
        <v>172</v>
      </c>
      <c r="C28" s="74">
        <f>(1/A27)</f>
        <v>1.6666666666666666E-4</v>
      </c>
      <c r="D28" s="52">
        <f>D8</f>
        <v>2962.78</v>
      </c>
      <c r="E28" s="53">
        <f>ROUND(C28*D28,2)</f>
        <v>0.49</v>
      </c>
    </row>
    <row r="29" spans="1:5" x14ac:dyDescent="0.25">
      <c r="A29" s="612" t="s">
        <v>173</v>
      </c>
      <c r="B29" s="613"/>
      <c r="C29" s="613"/>
      <c r="D29" s="614"/>
      <c r="E29" s="55">
        <f>SUM(E27:E28)</f>
        <v>0.51</v>
      </c>
    </row>
    <row r="31" spans="1:5" x14ac:dyDescent="0.25">
      <c r="A31" s="607" t="s">
        <v>181</v>
      </c>
      <c r="B31" s="607"/>
      <c r="C31" s="607"/>
      <c r="D31" s="607"/>
      <c r="E31" s="607"/>
    </row>
    <row r="32" spans="1:5" ht="45" x14ac:dyDescent="0.25">
      <c r="A32" s="49" t="s">
        <v>209</v>
      </c>
      <c r="B32" s="49" t="s">
        <v>208</v>
      </c>
      <c r="C32" s="50" t="s">
        <v>185</v>
      </c>
      <c r="D32" s="50" t="s">
        <v>210</v>
      </c>
      <c r="E32" s="50" t="s">
        <v>186</v>
      </c>
    </row>
    <row r="33" spans="1:8" x14ac:dyDescent="0.25">
      <c r="A33" s="610">
        <f>'Produtividade IN 05-2017'!C10</f>
        <v>2500</v>
      </c>
      <c r="B33" s="51" t="s">
        <v>245</v>
      </c>
      <c r="C33" s="74">
        <f>(1/(30*A33))</f>
        <v>1.3333333333333333E-5</v>
      </c>
      <c r="D33" s="52">
        <f>D7</f>
        <v>4286.6899999999996</v>
      </c>
      <c r="E33" s="53">
        <f>ROUND(C33*D33,2)</f>
        <v>0.06</v>
      </c>
    </row>
    <row r="34" spans="1:8" x14ac:dyDescent="0.25">
      <c r="A34" s="611"/>
      <c r="B34" s="51" t="s">
        <v>172</v>
      </c>
      <c r="C34" s="74">
        <f>(1/A33)</f>
        <v>4.0000000000000002E-4</v>
      </c>
      <c r="D34" s="52">
        <f>D8</f>
        <v>2962.78</v>
      </c>
      <c r="E34" s="53">
        <f>ROUND(C34*D34,2)</f>
        <v>1.19</v>
      </c>
    </row>
    <row r="35" spans="1:8" x14ac:dyDescent="0.25">
      <c r="A35" s="612" t="s">
        <v>173</v>
      </c>
      <c r="B35" s="613"/>
      <c r="C35" s="613"/>
      <c r="D35" s="614"/>
      <c r="E35" s="55">
        <f>SUM(E33:E34)</f>
        <v>1.25</v>
      </c>
    </row>
    <row r="37" spans="1:8" x14ac:dyDescent="0.25">
      <c r="A37" s="606" t="s">
        <v>225</v>
      </c>
      <c r="B37" s="606"/>
      <c r="C37" s="606"/>
      <c r="D37" s="606"/>
      <c r="E37" s="606"/>
      <c r="F37" s="606"/>
      <c r="G37" s="606"/>
      <c r="H37" s="606"/>
    </row>
    <row r="39" spans="1:8" x14ac:dyDescent="0.25">
      <c r="A39" s="607" t="s">
        <v>224</v>
      </c>
      <c r="B39" s="607"/>
      <c r="C39" s="607"/>
      <c r="D39" s="607"/>
      <c r="E39" s="607"/>
      <c r="F39" s="607"/>
      <c r="G39" s="607"/>
      <c r="H39" s="607"/>
    </row>
    <row r="40" spans="1:8" ht="75" x14ac:dyDescent="0.25">
      <c r="A40" s="49" t="s">
        <v>209</v>
      </c>
      <c r="B40" s="49" t="s">
        <v>208</v>
      </c>
      <c r="C40" s="50" t="s">
        <v>185</v>
      </c>
      <c r="D40" s="50" t="s">
        <v>226</v>
      </c>
      <c r="E40" s="59" t="s">
        <v>227</v>
      </c>
      <c r="F40" s="50" t="s">
        <v>228</v>
      </c>
      <c r="G40" s="50" t="s">
        <v>229</v>
      </c>
      <c r="H40" s="50" t="s">
        <v>230</v>
      </c>
    </row>
    <row r="41" spans="1:8" x14ac:dyDescent="0.25">
      <c r="A41" s="608">
        <f>'Produtividade IN 05-2017'!C13</f>
        <v>380</v>
      </c>
      <c r="B41" s="51" t="s">
        <v>245</v>
      </c>
      <c r="C41" s="90">
        <f>(1/(30*A41))</f>
        <v>8.7719298245614029E-5</v>
      </c>
      <c r="D41" s="91">
        <v>4</v>
      </c>
      <c r="E41" s="92">
        <f>1/C53</f>
        <v>8.8295542840997388E-4</v>
      </c>
      <c r="F41" s="93">
        <f>C41*D41*E41</f>
        <v>3.0980892224911361E-7</v>
      </c>
      <c r="G41" s="94">
        <v>4286.6899999999996</v>
      </c>
      <c r="H41" s="95">
        <f>ROUND(F41*G41,4)</f>
        <v>1.2999999999999999E-3</v>
      </c>
    </row>
    <row r="42" spans="1:8" x14ac:dyDescent="0.25">
      <c r="A42" s="609"/>
      <c r="B42" s="96" t="s">
        <v>231</v>
      </c>
      <c r="C42" s="90">
        <f>(1/A41)</f>
        <v>2.631578947368421E-3</v>
      </c>
      <c r="D42" s="91">
        <v>4</v>
      </c>
      <c r="E42" s="97">
        <f>1/C53</f>
        <v>8.8295542840997388E-4</v>
      </c>
      <c r="F42" s="47">
        <f>C42*D42*E42</f>
        <v>9.2942676674734091E-6</v>
      </c>
      <c r="G42" s="94">
        <v>4303.84</v>
      </c>
      <c r="H42" s="98">
        <f>ROUND(F42*G42,2)</f>
        <v>0.04</v>
      </c>
    </row>
    <row r="43" spans="1:8" x14ac:dyDescent="0.25">
      <c r="A43" s="607" t="s">
        <v>173</v>
      </c>
      <c r="B43" s="607"/>
      <c r="C43" s="607"/>
      <c r="D43" s="607"/>
      <c r="E43" s="607"/>
      <c r="F43" s="607"/>
      <c r="G43" s="607"/>
      <c r="H43" s="58">
        <f>SUM(H41:H42)</f>
        <v>4.1300000000000003E-2</v>
      </c>
    </row>
    <row r="45" spans="1:8" x14ac:dyDescent="0.25">
      <c r="A45" s="99" t="s">
        <v>232</v>
      </c>
    </row>
    <row r="46" spans="1:8" x14ac:dyDescent="0.25">
      <c r="A46" s="100" t="s">
        <v>233</v>
      </c>
      <c r="B46" s="48"/>
      <c r="C46" s="100">
        <v>365</v>
      </c>
    </row>
    <row r="47" spans="1:8" x14ac:dyDescent="0.25">
      <c r="A47" s="100" t="s">
        <v>234</v>
      </c>
      <c r="B47" s="48"/>
      <c r="C47" s="100">
        <v>12</v>
      </c>
    </row>
    <row r="48" spans="1:8" x14ac:dyDescent="0.25">
      <c r="A48" s="100" t="s">
        <v>235</v>
      </c>
      <c r="B48" s="48"/>
      <c r="C48" s="100">
        <v>30</v>
      </c>
    </row>
    <row r="49" spans="1:3" x14ac:dyDescent="0.25">
      <c r="A49" s="100" t="s">
        <v>236</v>
      </c>
      <c r="B49" s="48"/>
      <c r="C49" s="100">
        <v>7</v>
      </c>
    </row>
    <row r="50" spans="1:3" x14ac:dyDescent="0.25">
      <c r="A50" s="100" t="s">
        <v>237</v>
      </c>
      <c r="B50" s="101"/>
      <c r="C50" s="102">
        <f>C48/C49</f>
        <v>4.2857142857142856</v>
      </c>
    </row>
    <row r="51" spans="1:3" x14ac:dyDescent="0.25">
      <c r="A51" s="100" t="s">
        <v>238</v>
      </c>
      <c r="B51" s="48"/>
      <c r="C51" s="100" t="s">
        <v>239</v>
      </c>
    </row>
    <row r="52" spans="1:3" x14ac:dyDescent="0.25">
      <c r="A52" s="100" t="s">
        <v>240</v>
      </c>
      <c r="B52" s="101"/>
      <c r="C52" s="102">
        <f>4.29*44</f>
        <v>188.76</v>
      </c>
    </row>
    <row r="53" spans="1:3" x14ac:dyDescent="0.25">
      <c r="A53" s="100" t="s">
        <v>241</v>
      </c>
      <c r="B53" s="48"/>
      <c r="C53" s="100">
        <f>6*C52</f>
        <v>1132.56</v>
      </c>
    </row>
  </sheetData>
  <mergeCells count="22">
    <mergeCell ref="A23:D23"/>
    <mergeCell ref="A1:E1"/>
    <mergeCell ref="A3:E3"/>
    <mergeCell ref="A7:A8"/>
    <mergeCell ref="A9:D9"/>
    <mergeCell ref="A5:E5"/>
    <mergeCell ref="A11:E11"/>
    <mergeCell ref="A13:A14"/>
    <mergeCell ref="A15:D15"/>
    <mergeCell ref="A17:E17"/>
    <mergeCell ref="A19:E19"/>
    <mergeCell ref="A21:A22"/>
    <mergeCell ref="A37:H37"/>
    <mergeCell ref="A39:H39"/>
    <mergeCell ref="A41:A42"/>
    <mergeCell ref="A43:G43"/>
    <mergeCell ref="A25:E25"/>
    <mergeCell ref="A27:A28"/>
    <mergeCell ref="A29:D29"/>
    <mergeCell ref="A31:E31"/>
    <mergeCell ref="A33:A34"/>
    <mergeCell ref="A35:D35"/>
  </mergeCells>
  <pageMargins left="0.511811024" right="0.511811024" top="0.78740157499999996" bottom="0.78740157499999996" header="0.31496062000000002" footer="0.31496062000000002"/>
  <pageSetup paperSize="9"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18"/>
  <sheetViews>
    <sheetView workbookViewId="0">
      <selection activeCell="K17" sqref="K17"/>
    </sheetView>
  </sheetViews>
  <sheetFormatPr defaultRowHeight="15" x14ac:dyDescent="0.25"/>
  <cols>
    <col min="1" max="1" width="12.28515625" customWidth="1"/>
    <col min="2" max="2" width="15.5703125" customWidth="1"/>
    <col min="3" max="3" width="55.140625" customWidth="1"/>
    <col min="4" max="4" width="14.140625" customWidth="1"/>
    <col min="5" max="5" width="12.7109375" customWidth="1"/>
    <col min="7" max="7" width="11.42578125" customWidth="1"/>
    <col min="8" max="8" width="14.85546875" customWidth="1"/>
  </cols>
  <sheetData>
    <row r="1" spans="1:8" x14ac:dyDescent="0.25">
      <c r="A1" s="621" t="s">
        <v>198</v>
      </c>
      <c r="B1" s="622"/>
      <c r="C1" s="622"/>
      <c r="D1" s="622"/>
      <c r="E1" s="622"/>
      <c r="F1" s="622"/>
      <c r="G1" s="622"/>
      <c r="H1" s="623"/>
    </row>
    <row r="2" spans="1:8" s="46" customFormat="1" x14ac:dyDescent="0.25">
      <c r="A2" s="68"/>
      <c r="B2" s="68"/>
      <c r="C2" s="68"/>
      <c r="D2" s="69"/>
      <c r="E2" s="69"/>
      <c r="F2" s="69"/>
      <c r="G2" s="69"/>
      <c r="H2" s="69"/>
    </row>
    <row r="3" spans="1:8" ht="45" x14ac:dyDescent="0.25">
      <c r="A3" s="50" t="s">
        <v>190</v>
      </c>
      <c r="B3" s="624" t="s">
        <v>206</v>
      </c>
      <c r="C3" s="624"/>
      <c r="D3" s="64" t="s">
        <v>204</v>
      </c>
      <c r="E3" s="64" t="s">
        <v>201</v>
      </c>
      <c r="F3" s="64" t="s">
        <v>200</v>
      </c>
      <c r="G3" s="64" t="s">
        <v>203</v>
      </c>
      <c r="H3" s="64" t="s">
        <v>191</v>
      </c>
    </row>
    <row r="4" spans="1:8" ht="17.25" x14ac:dyDescent="0.25">
      <c r="A4" s="624" t="s">
        <v>212</v>
      </c>
      <c r="B4" s="633" t="s">
        <v>171</v>
      </c>
      <c r="C4" s="47" t="s">
        <v>211</v>
      </c>
      <c r="D4" s="54" t="s">
        <v>205</v>
      </c>
      <c r="E4" s="57">
        <f>'Produtividade IN 05-2017'!B4</f>
        <v>225.61</v>
      </c>
      <c r="F4" s="57" t="s">
        <v>202</v>
      </c>
      <c r="G4" s="65">
        <f>'Produtividade x M2'!E9</f>
        <v>9.7099999999999991</v>
      </c>
      <c r="H4" s="65">
        <f>ROUND(E4*G4,2)</f>
        <v>2190.67</v>
      </c>
    </row>
    <row r="5" spans="1:8" ht="17.25" x14ac:dyDescent="0.25">
      <c r="A5" s="624"/>
      <c r="B5" s="633"/>
      <c r="C5" s="47" t="s">
        <v>177</v>
      </c>
      <c r="D5" s="54" t="s">
        <v>205</v>
      </c>
      <c r="E5" s="57">
        <f>'Produtividade IN 05-2017'!B5</f>
        <v>16.920000000000002</v>
      </c>
      <c r="F5" s="57" t="s">
        <v>202</v>
      </c>
      <c r="G5" s="65">
        <f>'Produtividade x M2'!E15</f>
        <v>34.510000000000005</v>
      </c>
      <c r="H5" s="65">
        <f>ROUND(E5*G5,2)</f>
        <v>583.91</v>
      </c>
    </row>
    <row r="6" spans="1:8" ht="5.0999999999999996" customHeight="1" x14ac:dyDescent="0.25">
      <c r="A6" s="624"/>
    </row>
    <row r="7" spans="1:8" ht="17.25" x14ac:dyDescent="0.25">
      <c r="A7" s="624"/>
      <c r="B7" s="633" t="s">
        <v>174</v>
      </c>
      <c r="C7" s="51" t="s">
        <v>179</v>
      </c>
      <c r="D7" s="54" t="str">
        <f>D4</f>
        <v>Mensal</v>
      </c>
      <c r="E7" s="57">
        <f>'Produtividade IN 05-2017'!B8</f>
        <v>100.47</v>
      </c>
      <c r="F7" s="57" t="s">
        <v>202</v>
      </c>
      <c r="G7" s="65">
        <f>'Produtividade x M2'!E23</f>
        <v>1.25</v>
      </c>
      <c r="H7" s="65">
        <f>ROUND(E7*G7,2)</f>
        <v>125.59</v>
      </c>
    </row>
    <row r="8" spans="1:8" ht="17.25" x14ac:dyDescent="0.25">
      <c r="A8" s="624"/>
      <c r="B8" s="633"/>
      <c r="C8" s="51" t="s">
        <v>180</v>
      </c>
      <c r="D8" s="54" t="str">
        <f>D5</f>
        <v>Mensal</v>
      </c>
      <c r="E8" s="57">
        <f>'Produtividade IN 05-2017'!B9</f>
        <v>49.35</v>
      </c>
      <c r="F8" s="57" t="s">
        <v>202</v>
      </c>
      <c r="G8" s="65">
        <f>'Produtividade x M2'!E29</f>
        <v>0.51</v>
      </c>
      <c r="H8" s="65">
        <f>ROUND(E8*G8,2)</f>
        <v>25.17</v>
      </c>
    </row>
    <row r="9" spans="1:8" ht="17.25" x14ac:dyDescent="0.25">
      <c r="A9" s="624"/>
      <c r="B9" s="633"/>
      <c r="C9" s="51" t="s">
        <v>181</v>
      </c>
      <c r="D9" s="54" t="str">
        <f>D8</f>
        <v>Mensal</v>
      </c>
      <c r="E9" s="57">
        <f>'Produtividade IN 05-2017'!B10</f>
        <v>40.69</v>
      </c>
      <c r="F9" s="57" t="s">
        <v>202</v>
      </c>
      <c r="G9" s="65">
        <f>'Produtividade x M2'!E35</f>
        <v>1.25</v>
      </c>
      <c r="H9" s="65">
        <f>ROUND(E9*G9,2)</f>
        <v>50.86</v>
      </c>
    </row>
    <row r="10" spans="1:8" ht="5.0999999999999996" customHeight="1" x14ac:dyDescent="0.25">
      <c r="A10" s="624"/>
      <c r="B10" s="636"/>
      <c r="C10" s="637"/>
      <c r="D10" s="637"/>
      <c r="E10" s="637"/>
      <c r="F10" s="637"/>
      <c r="G10" s="637"/>
      <c r="H10" s="638"/>
    </row>
    <row r="11" spans="1:8" ht="18.75" customHeight="1" x14ac:dyDescent="0.25">
      <c r="A11" s="624"/>
      <c r="B11" s="103" t="s">
        <v>242</v>
      </c>
      <c r="C11" s="104" t="s">
        <v>224</v>
      </c>
      <c r="D11" s="105" t="s">
        <v>247</v>
      </c>
      <c r="E11" s="106">
        <f>'Produtividade IN 05-2017'!B13</f>
        <v>83.03</v>
      </c>
      <c r="F11" s="106" t="s">
        <v>202</v>
      </c>
      <c r="G11" s="107">
        <f>'Produtividade x M2'!H43</f>
        <v>4.1300000000000003E-2</v>
      </c>
      <c r="H11" s="65">
        <f>ROUND(E11*G11,2)</f>
        <v>3.43</v>
      </c>
    </row>
    <row r="12" spans="1:8" ht="5.0999999999999996" customHeight="1" x14ac:dyDescent="0.25">
      <c r="A12" s="624"/>
      <c r="B12" s="626"/>
      <c r="C12" s="627"/>
      <c r="D12" s="627"/>
      <c r="E12" s="627"/>
      <c r="F12" s="627"/>
      <c r="G12" s="627"/>
      <c r="H12" s="628"/>
    </row>
    <row r="13" spans="1:8" x14ac:dyDescent="0.25">
      <c r="A13" s="624"/>
      <c r="B13" s="634" t="s">
        <v>192</v>
      </c>
      <c r="C13" s="635"/>
      <c r="D13" s="73"/>
      <c r="E13" s="75">
        <f>SUM(E4:E11)</f>
        <v>516.07000000000005</v>
      </c>
      <c r="F13" s="630"/>
      <c r="G13" s="631"/>
      <c r="H13" s="632"/>
    </row>
    <row r="14" spans="1:8" x14ac:dyDescent="0.25">
      <c r="A14" s="624"/>
      <c r="B14" s="625" t="s">
        <v>193</v>
      </c>
      <c r="C14" s="625"/>
      <c r="D14" s="625"/>
      <c r="E14" s="625"/>
      <c r="F14" s="625"/>
      <c r="G14" s="625"/>
      <c r="H14" s="56">
        <f>SUM(H4:H11)</f>
        <v>2979.63</v>
      </c>
    </row>
    <row r="16" spans="1:8" x14ac:dyDescent="0.25">
      <c r="A16" s="629" t="s">
        <v>194</v>
      </c>
      <c r="B16" s="629"/>
      <c r="C16" s="629"/>
      <c r="D16" s="629"/>
      <c r="E16" s="629"/>
      <c r="F16" s="629"/>
      <c r="G16" s="629"/>
      <c r="H16" s="629"/>
    </row>
    <row r="17" spans="1:8" x14ac:dyDescent="0.25">
      <c r="A17" s="616" t="s">
        <v>195</v>
      </c>
      <c r="B17" s="617"/>
      <c r="C17" s="617"/>
      <c r="D17" s="617"/>
      <c r="E17" s="617"/>
      <c r="F17" s="617"/>
      <c r="G17" s="618"/>
      <c r="H17" s="58">
        <f>H14</f>
        <v>2979.63</v>
      </c>
    </row>
    <row r="18" spans="1:8" x14ac:dyDescent="0.25">
      <c r="A18" s="616" t="s">
        <v>196</v>
      </c>
      <c r="B18" s="617"/>
      <c r="C18" s="618"/>
      <c r="D18" s="619">
        <v>12</v>
      </c>
      <c r="E18" s="620"/>
      <c r="F18" s="620"/>
      <c r="G18" s="66" t="s">
        <v>197</v>
      </c>
      <c r="H18" s="67">
        <f>H17*D18</f>
        <v>35755.56</v>
      </c>
    </row>
  </sheetData>
  <mergeCells count="14">
    <mergeCell ref="A17:G17"/>
    <mergeCell ref="A18:C18"/>
    <mergeCell ref="D18:F18"/>
    <mergeCell ref="A1:H1"/>
    <mergeCell ref="A4:A14"/>
    <mergeCell ref="B14:G14"/>
    <mergeCell ref="B12:H12"/>
    <mergeCell ref="A16:H16"/>
    <mergeCell ref="B3:C3"/>
    <mergeCell ref="F13:H13"/>
    <mergeCell ref="B4:B5"/>
    <mergeCell ref="B7:B9"/>
    <mergeCell ref="B13:C13"/>
    <mergeCell ref="B10:H10"/>
  </mergeCells>
  <phoneticPr fontId="19" type="noConversion"/>
  <pageMargins left="0.511811024" right="0.511811024" top="0.78740157499999996" bottom="0.78740157499999996" header="0.31496062000000002" footer="0.31496062000000002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71"/>
  <sheetViews>
    <sheetView showGridLines="0" showZeros="0" view="pageBreakPreview" zoomScale="80" zoomScaleNormal="100" zoomScaleSheetLayoutView="80" zoomScalePageLayoutView="60" workbookViewId="0">
      <selection activeCell="D5" sqref="D5:K5"/>
    </sheetView>
  </sheetViews>
  <sheetFormatPr defaultColWidth="8.7109375" defaultRowHeight="15" x14ac:dyDescent="0.25"/>
  <cols>
    <col min="1" max="1" width="7.140625" style="110" customWidth="1"/>
    <col min="2" max="2" width="6.7109375" style="110" customWidth="1"/>
    <col min="3" max="3" width="6.28515625" style="110" customWidth="1"/>
    <col min="4" max="4" width="8.7109375" style="110"/>
    <col min="5" max="5" width="11.28515625" style="110" customWidth="1"/>
    <col min="6" max="6" width="19.140625" style="110" customWidth="1"/>
    <col min="7" max="7" width="11.85546875" style="110" customWidth="1"/>
    <col min="8" max="8" width="10.7109375" style="110" customWidth="1"/>
    <col min="9" max="9" width="8.7109375" style="110"/>
    <col min="10" max="10" width="7" style="110" customWidth="1"/>
    <col min="11" max="11" width="37.140625" style="119" customWidth="1"/>
    <col min="12" max="12" width="3.42578125" style="110" customWidth="1"/>
    <col min="13" max="13" width="11.140625" style="111" bestFit="1" customWidth="1"/>
    <col min="14" max="14" width="11.7109375" style="111" bestFit="1" customWidth="1"/>
    <col min="15" max="19" width="8.7109375" style="111"/>
    <col min="20" max="20" width="19.5703125" style="111" customWidth="1"/>
    <col min="21" max="16384" width="8.7109375" style="110"/>
  </cols>
  <sheetData>
    <row r="1" spans="1:12" ht="21.75" customHeight="1" x14ac:dyDescent="0.25">
      <c r="A1" s="412" t="s">
        <v>297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2" ht="6.75" customHeight="1" x14ac:dyDescent="0.25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2" ht="40.5" customHeight="1" x14ac:dyDescent="0.25">
      <c r="A3" s="414" t="s">
        <v>75</v>
      </c>
      <c r="B3" s="414"/>
      <c r="C3" s="414"/>
      <c r="D3" s="415" t="s">
        <v>347</v>
      </c>
      <c r="E3" s="415"/>
      <c r="F3" s="415"/>
      <c r="G3" s="415"/>
      <c r="H3" s="415"/>
      <c r="I3" s="415"/>
      <c r="J3" s="415"/>
      <c r="K3" s="415"/>
    </row>
    <row r="4" spans="1:12" ht="17.25" customHeight="1" x14ac:dyDescent="0.25">
      <c r="A4" s="414" t="s">
        <v>95</v>
      </c>
      <c r="B4" s="414"/>
      <c r="C4" s="414"/>
      <c r="D4" s="416"/>
      <c r="E4" s="416"/>
      <c r="F4" s="416"/>
      <c r="G4" s="416"/>
      <c r="H4" s="416"/>
      <c r="I4" s="416"/>
      <c r="J4" s="416"/>
      <c r="K4" s="416"/>
    </row>
    <row r="5" spans="1:12" ht="17.25" customHeight="1" x14ac:dyDescent="0.25">
      <c r="A5" s="414" t="s">
        <v>96</v>
      </c>
      <c r="B5" s="414"/>
      <c r="C5" s="414"/>
      <c r="D5" s="416"/>
      <c r="E5" s="416"/>
      <c r="F5" s="416"/>
      <c r="G5" s="416"/>
      <c r="H5" s="416"/>
      <c r="I5" s="416"/>
      <c r="J5" s="416"/>
      <c r="K5" s="416"/>
    </row>
    <row r="6" spans="1:12" ht="17.25" customHeight="1" x14ac:dyDescent="0.25">
      <c r="A6" s="414" t="s">
        <v>159</v>
      </c>
      <c r="B6" s="414"/>
      <c r="C6" s="414"/>
      <c r="D6" s="417" t="s">
        <v>348</v>
      </c>
      <c r="E6" s="417"/>
      <c r="F6" s="417"/>
      <c r="G6" s="417"/>
      <c r="H6" s="417"/>
      <c r="I6" s="417"/>
      <c r="J6" s="417"/>
      <c r="K6" s="417"/>
    </row>
    <row r="7" spans="1:12" ht="6.75" customHeight="1" x14ac:dyDescent="0.25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3"/>
    </row>
    <row r="8" spans="1:12" ht="6.75" customHeight="1" x14ac:dyDescent="0.25">
      <c r="A8" s="362"/>
      <c r="B8" s="362"/>
      <c r="C8" s="362"/>
      <c r="D8" s="362"/>
      <c r="E8" s="362"/>
      <c r="F8" s="362"/>
      <c r="G8" s="362"/>
      <c r="H8" s="362"/>
      <c r="I8" s="362"/>
      <c r="J8" s="362"/>
      <c r="K8" s="362"/>
    </row>
    <row r="9" spans="1:12" ht="17.25" customHeight="1" x14ac:dyDescent="0.25">
      <c r="A9" s="363" t="s">
        <v>0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</row>
    <row r="10" spans="1:12" ht="17.25" customHeight="1" x14ac:dyDescent="0.25">
      <c r="A10" s="264" t="s">
        <v>1</v>
      </c>
      <c r="B10" s="377" t="s">
        <v>2</v>
      </c>
      <c r="C10" s="377"/>
      <c r="D10" s="377"/>
      <c r="E10" s="377"/>
      <c r="F10" s="377"/>
      <c r="G10" s="377"/>
      <c r="H10" s="377"/>
      <c r="I10" s="377"/>
      <c r="J10" s="377"/>
      <c r="K10" s="271"/>
    </row>
    <row r="11" spans="1:12" ht="16.5" customHeight="1" x14ac:dyDescent="0.25">
      <c r="A11" s="264" t="s">
        <v>3</v>
      </c>
      <c r="B11" s="377" t="s">
        <v>4</v>
      </c>
      <c r="C11" s="377"/>
      <c r="D11" s="377"/>
      <c r="E11" s="377"/>
      <c r="F11" s="377"/>
      <c r="G11" s="377"/>
      <c r="H11" s="377"/>
      <c r="I11" s="377"/>
      <c r="J11" s="377"/>
      <c r="K11" s="263" t="s">
        <v>265</v>
      </c>
    </row>
    <row r="12" spans="1:12" ht="25.5" x14ac:dyDescent="0.25">
      <c r="A12" s="264" t="s">
        <v>5</v>
      </c>
      <c r="B12" s="377" t="s">
        <v>120</v>
      </c>
      <c r="C12" s="377"/>
      <c r="D12" s="377"/>
      <c r="E12" s="377"/>
      <c r="F12" s="377"/>
      <c r="G12" s="377"/>
      <c r="H12" s="377"/>
      <c r="I12" s="377"/>
      <c r="J12" s="377"/>
      <c r="K12" s="128" t="s">
        <v>349</v>
      </c>
    </row>
    <row r="13" spans="1:12" ht="16.5" customHeight="1" x14ac:dyDescent="0.25">
      <c r="A13" s="264" t="s">
        <v>6</v>
      </c>
      <c r="B13" s="402" t="s">
        <v>77</v>
      </c>
      <c r="C13" s="402"/>
      <c r="D13" s="402"/>
      <c r="E13" s="402"/>
      <c r="F13" s="402"/>
      <c r="G13" s="402"/>
      <c r="H13" s="402"/>
      <c r="I13" s="402"/>
      <c r="J13" s="402"/>
      <c r="K13" s="263" t="s">
        <v>350</v>
      </c>
    </row>
    <row r="14" spans="1:12" ht="16.5" customHeight="1" x14ac:dyDescent="0.25">
      <c r="A14" s="264" t="s">
        <v>8</v>
      </c>
      <c r="B14" s="402" t="s">
        <v>127</v>
      </c>
      <c r="C14" s="402"/>
      <c r="D14" s="402"/>
      <c r="E14" s="402"/>
      <c r="F14" s="402"/>
      <c r="G14" s="402"/>
      <c r="H14" s="402"/>
      <c r="I14" s="402"/>
      <c r="J14" s="402"/>
      <c r="K14" s="129" t="s">
        <v>222</v>
      </c>
    </row>
    <row r="15" spans="1:12" ht="16.5" customHeight="1" x14ac:dyDescent="0.25">
      <c r="A15" s="264" t="s">
        <v>10</v>
      </c>
      <c r="B15" s="402" t="s">
        <v>7</v>
      </c>
      <c r="C15" s="402"/>
      <c r="D15" s="402"/>
      <c r="E15" s="402"/>
      <c r="F15" s="402"/>
      <c r="G15" s="402"/>
      <c r="H15" s="402"/>
      <c r="I15" s="402"/>
      <c r="J15" s="402"/>
      <c r="K15" s="263" t="s">
        <v>351</v>
      </c>
    </row>
    <row r="16" spans="1:12" ht="45.75" customHeight="1" x14ac:dyDescent="0.25">
      <c r="A16" s="264" t="s">
        <v>11</v>
      </c>
      <c r="B16" s="402" t="s">
        <v>9</v>
      </c>
      <c r="C16" s="402"/>
      <c r="D16" s="402"/>
      <c r="E16" s="402"/>
      <c r="F16" s="402"/>
      <c r="G16" s="402"/>
      <c r="H16" s="402"/>
      <c r="I16" s="402"/>
      <c r="J16" s="402"/>
      <c r="K16" s="140" t="s">
        <v>352</v>
      </c>
      <c r="L16" s="112"/>
    </row>
    <row r="17" spans="1:20" ht="15.75" customHeight="1" x14ac:dyDescent="0.25">
      <c r="A17" s="264" t="s">
        <v>12</v>
      </c>
      <c r="B17" s="402" t="s">
        <v>143</v>
      </c>
      <c r="C17" s="402"/>
      <c r="D17" s="402"/>
      <c r="E17" s="402"/>
      <c r="F17" s="402"/>
      <c r="G17" s="402"/>
      <c r="H17" s="402"/>
      <c r="I17" s="402"/>
      <c r="J17" s="402"/>
      <c r="K17" s="263">
        <v>1212</v>
      </c>
      <c r="L17" s="112"/>
    </row>
    <row r="18" spans="1:20" ht="16.5" customHeight="1" x14ac:dyDescent="0.25">
      <c r="A18" s="264" t="s">
        <v>14</v>
      </c>
      <c r="B18" s="402" t="s">
        <v>162</v>
      </c>
      <c r="C18" s="402"/>
      <c r="D18" s="402"/>
      <c r="E18" s="402"/>
      <c r="F18" s="402"/>
      <c r="G18" s="402"/>
      <c r="H18" s="402"/>
      <c r="I18" s="402"/>
      <c r="J18" s="402"/>
      <c r="K18" s="269">
        <v>1876.6</v>
      </c>
    </row>
    <row r="19" spans="1:20" x14ac:dyDescent="0.25">
      <c r="A19" s="264" t="s">
        <v>16</v>
      </c>
      <c r="B19" s="377" t="s">
        <v>84</v>
      </c>
      <c r="C19" s="377"/>
      <c r="D19" s="377"/>
      <c r="E19" s="377"/>
      <c r="F19" s="377"/>
      <c r="G19" s="377"/>
      <c r="H19" s="377"/>
      <c r="I19" s="377"/>
      <c r="J19" s="377"/>
      <c r="K19" s="148" t="s">
        <v>609</v>
      </c>
    </row>
    <row r="20" spans="1:20" ht="16.5" customHeight="1" x14ac:dyDescent="0.25">
      <c r="A20" s="264" t="s">
        <v>76</v>
      </c>
      <c r="B20" s="377" t="s">
        <v>13</v>
      </c>
      <c r="C20" s="377"/>
      <c r="D20" s="377"/>
      <c r="E20" s="377"/>
      <c r="F20" s="377"/>
      <c r="G20" s="377"/>
      <c r="H20" s="377"/>
      <c r="I20" s="377"/>
      <c r="J20" s="377"/>
      <c r="K20" s="149" t="s">
        <v>611</v>
      </c>
    </row>
    <row r="21" spans="1:20" ht="17.25" customHeight="1" x14ac:dyDescent="0.25">
      <c r="A21" s="264" t="s">
        <v>78</v>
      </c>
      <c r="B21" s="377" t="s">
        <v>15</v>
      </c>
      <c r="C21" s="377"/>
      <c r="D21" s="377"/>
      <c r="E21" s="377"/>
      <c r="F21" s="377"/>
      <c r="G21" s="377"/>
      <c r="H21" s="377"/>
      <c r="I21" s="377"/>
      <c r="J21" s="377"/>
      <c r="K21" s="150" t="s">
        <v>610</v>
      </c>
    </row>
    <row r="22" spans="1:20" ht="17.25" customHeight="1" x14ac:dyDescent="0.25">
      <c r="A22" s="264" t="s">
        <v>142</v>
      </c>
      <c r="B22" s="377" t="s">
        <v>17</v>
      </c>
      <c r="C22" s="377"/>
      <c r="D22" s="377"/>
      <c r="E22" s="377"/>
      <c r="F22" s="377"/>
      <c r="G22" s="377"/>
      <c r="H22" s="377"/>
      <c r="I22" s="377"/>
      <c r="J22" s="377"/>
      <c r="K22" s="130">
        <v>12</v>
      </c>
    </row>
    <row r="23" spans="1:20" ht="6.75" customHeight="1" x14ac:dyDescent="0.25">
      <c r="A23" s="362"/>
      <c r="B23" s="362"/>
      <c r="C23" s="362"/>
      <c r="D23" s="362"/>
      <c r="E23" s="362"/>
      <c r="F23" s="362"/>
      <c r="G23" s="362"/>
      <c r="H23" s="362"/>
      <c r="I23" s="362"/>
      <c r="J23" s="362"/>
      <c r="K23" s="362"/>
    </row>
    <row r="24" spans="1:20" ht="17.25" customHeight="1" x14ac:dyDescent="0.25">
      <c r="A24" s="363" t="s">
        <v>18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</row>
    <row r="25" spans="1:20" ht="17.25" customHeight="1" x14ac:dyDescent="0.25">
      <c r="A25" s="363"/>
      <c r="B25" s="363"/>
      <c r="C25" s="363"/>
      <c r="D25" s="363"/>
      <c r="E25" s="363"/>
      <c r="F25" s="363"/>
      <c r="G25" s="363"/>
      <c r="H25" s="363"/>
      <c r="I25" s="363"/>
      <c r="J25" s="363"/>
      <c r="K25" s="262" t="s">
        <v>20</v>
      </c>
    </row>
    <row r="26" spans="1:20" ht="17.25" customHeight="1" x14ac:dyDescent="0.25">
      <c r="A26" s="264" t="s">
        <v>1</v>
      </c>
      <c r="B26" s="402" t="s">
        <v>21</v>
      </c>
      <c r="C26" s="402"/>
      <c r="D26" s="402"/>
      <c r="E26" s="402"/>
      <c r="F26" s="402"/>
      <c r="G26" s="402"/>
      <c r="H26" s="131">
        <v>220</v>
      </c>
      <c r="I26" s="357" t="s">
        <v>126</v>
      </c>
      <c r="J26" s="357"/>
      <c r="K26" s="269">
        <f>K18/220*H26</f>
        <v>1876.6</v>
      </c>
      <c r="M26" s="423"/>
      <c r="N26" s="423"/>
      <c r="O26" s="423"/>
      <c r="P26" s="423"/>
      <c r="Q26" s="423"/>
      <c r="R26" s="423"/>
      <c r="S26" s="423"/>
      <c r="T26" s="423"/>
    </row>
    <row r="27" spans="1:20" ht="17.25" customHeight="1" x14ac:dyDescent="0.25">
      <c r="A27" s="264" t="s">
        <v>3</v>
      </c>
      <c r="B27" s="402" t="s">
        <v>98</v>
      </c>
      <c r="C27" s="402"/>
      <c r="D27" s="402"/>
      <c r="E27" s="402"/>
      <c r="F27" s="402"/>
      <c r="G27" s="402"/>
      <c r="H27" s="268"/>
      <c r="I27" s="357" t="s">
        <v>100</v>
      </c>
      <c r="J27" s="357"/>
      <c r="K27" s="263">
        <f>H27*K18</f>
        <v>0</v>
      </c>
      <c r="M27" s="120" t="s">
        <v>153</v>
      </c>
      <c r="N27" s="121"/>
      <c r="O27" s="121"/>
      <c r="P27" s="121"/>
      <c r="Q27" s="121"/>
      <c r="R27" s="121"/>
      <c r="S27" s="121"/>
      <c r="T27" s="122"/>
    </row>
    <row r="28" spans="1:20" ht="17.25" customHeight="1" x14ac:dyDescent="0.25">
      <c r="A28" s="264" t="s">
        <v>5</v>
      </c>
      <c r="B28" s="402" t="s">
        <v>99</v>
      </c>
      <c r="C28" s="402"/>
      <c r="D28" s="402"/>
      <c r="E28" s="402"/>
      <c r="F28" s="402"/>
      <c r="G28" s="402"/>
      <c r="H28" s="268"/>
      <c r="I28" s="357" t="s">
        <v>100</v>
      </c>
      <c r="J28" s="357"/>
      <c r="K28" s="263">
        <f>H28*K17</f>
        <v>0</v>
      </c>
      <c r="M28" s="123" t="s">
        <v>153</v>
      </c>
      <c r="N28" s="124"/>
      <c r="O28" s="124"/>
      <c r="P28" s="124"/>
      <c r="Q28" s="124"/>
      <c r="R28" s="124"/>
      <c r="S28" s="124"/>
      <c r="T28" s="125"/>
    </row>
    <row r="29" spans="1:20" ht="17.25" customHeight="1" x14ac:dyDescent="0.25">
      <c r="A29" s="264" t="s">
        <v>6</v>
      </c>
      <c r="B29" s="402" t="s">
        <v>101</v>
      </c>
      <c r="C29" s="402"/>
      <c r="D29" s="402"/>
      <c r="E29" s="402"/>
      <c r="F29" s="402"/>
      <c r="G29" s="402"/>
      <c r="H29" s="268"/>
      <c r="I29" s="357" t="s">
        <v>100</v>
      </c>
      <c r="J29" s="357"/>
      <c r="K29" s="263">
        <f>H29*K26</f>
        <v>0</v>
      </c>
    </row>
    <row r="30" spans="1:20" ht="17.25" customHeight="1" x14ac:dyDescent="0.25">
      <c r="A30" s="264" t="s">
        <v>102</v>
      </c>
      <c r="B30" s="402" t="s">
        <v>103</v>
      </c>
      <c r="C30" s="402"/>
      <c r="D30" s="402"/>
      <c r="E30" s="402"/>
      <c r="F30" s="402"/>
      <c r="G30" s="402"/>
      <c r="H30" s="268"/>
      <c r="I30" s="357" t="s">
        <v>100</v>
      </c>
      <c r="J30" s="357"/>
      <c r="K30" s="263">
        <f>H30*K26</f>
        <v>0</v>
      </c>
    </row>
    <row r="31" spans="1:20" ht="17.25" customHeight="1" x14ac:dyDescent="0.25">
      <c r="A31" s="357" t="s">
        <v>10</v>
      </c>
      <c r="B31" s="402" t="s">
        <v>140</v>
      </c>
      <c r="C31" s="402"/>
      <c r="D31" s="402"/>
      <c r="E31" s="402"/>
      <c r="F31" s="402"/>
      <c r="G31" s="411" t="s">
        <v>125</v>
      </c>
      <c r="H31" s="433" t="s">
        <v>123</v>
      </c>
      <c r="I31" s="411" t="s">
        <v>124</v>
      </c>
      <c r="J31" s="411"/>
      <c r="K31" s="432">
        <f>ROUND(I33*H33,2)</f>
        <v>0</v>
      </c>
      <c r="M31" s="424" t="s">
        <v>154</v>
      </c>
      <c r="N31" s="425"/>
      <c r="O31" s="425"/>
      <c r="P31" s="425"/>
      <c r="Q31" s="425"/>
      <c r="R31" s="425"/>
      <c r="S31" s="425"/>
      <c r="T31" s="426"/>
    </row>
    <row r="32" spans="1:20" ht="22.5" customHeight="1" x14ac:dyDescent="0.25">
      <c r="A32" s="357"/>
      <c r="B32" s="402"/>
      <c r="C32" s="402"/>
      <c r="D32" s="402"/>
      <c r="E32" s="402"/>
      <c r="F32" s="402"/>
      <c r="G32" s="411"/>
      <c r="H32" s="433"/>
      <c r="I32" s="411"/>
      <c r="J32" s="411"/>
      <c r="K32" s="432"/>
      <c r="M32" s="427"/>
      <c r="N32" s="380"/>
      <c r="O32" s="380"/>
      <c r="P32" s="380"/>
      <c r="Q32" s="380"/>
      <c r="R32" s="380"/>
      <c r="S32" s="380"/>
      <c r="T32" s="428"/>
    </row>
    <row r="33" spans="1:20" ht="17.25" customHeight="1" x14ac:dyDescent="0.25">
      <c r="A33" s="357"/>
      <c r="B33" s="402"/>
      <c r="C33" s="402"/>
      <c r="D33" s="402"/>
      <c r="E33" s="402"/>
      <c r="F33" s="402"/>
      <c r="G33" s="268"/>
      <c r="H33" s="131"/>
      <c r="I33" s="422">
        <f>(K26/H26)*(1+G33)</f>
        <v>8.5299999999999994</v>
      </c>
      <c r="J33" s="422"/>
      <c r="K33" s="432"/>
      <c r="M33" s="429"/>
      <c r="N33" s="430"/>
      <c r="O33" s="430"/>
      <c r="P33" s="430"/>
      <c r="Q33" s="430"/>
      <c r="R33" s="430"/>
      <c r="S33" s="430"/>
      <c r="T33" s="431"/>
    </row>
    <row r="34" spans="1:20" ht="17.25" customHeight="1" x14ac:dyDescent="0.25">
      <c r="A34" s="264" t="s">
        <v>11</v>
      </c>
      <c r="B34" s="394" t="s">
        <v>22</v>
      </c>
      <c r="C34" s="394"/>
      <c r="D34" s="394"/>
      <c r="E34" s="394"/>
      <c r="F34" s="394"/>
      <c r="G34" s="394"/>
      <c r="H34" s="394"/>
      <c r="I34" s="394"/>
      <c r="J34" s="394"/>
      <c r="K34" s="269"/>
    </row>
    <row r="35" spans="1:20" ht="17.25" customHeight="1" x14ac:dyDescent="0.25">
      <c r="A35" s="363" t="s">
        <v>23</v>
      </c>
      <c r="B35" s="363"/>
      <c r="C35" s="363"/>
      <c r="D35" s="363"/>
      <c r="E35" s="363"/>
      <c r="F35" s="363"/>
      <c r="G35" s="363"/>
      <c r="H35" s="363"/>
      <c r="I35" s="363"/>
      <c r="J35" s="363"/>
      <c r="K35" s="132">
        <f>ROUND(SUM(K26:K34),2)</f>
        <v>1876.6</v>
      </c>
    </row>
    <row r="36" spans="1:20" ht="6.75" customHeight="1" x14ac:dyDescent="0.25">
      <c r="A36" s="362"/>
      <c r="B36" s="362"/>
      <c r="C36" s="362"/>
      <c r="D36" s="362"/>
      <c r="E36" s="362"/>
      <c r="F36" s="362"/>
      <c r="G36" s="362"/>
      <c r="H36" s="362"/>
      <c r="I36" s="362"/>
      <c r="J36" s="362"/>
      <c r="K36" s="362"/>
    </row>
    <row r="37" spans="1:20" ht="17.25" customHeight="1" x14ac:dyDescent="0.25">
      <c r="A37" s="363" t="s">
        <v>24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</row>
    <row r="38" spans="1:20" ht="17.25" customHeight="1" x14ac:dyDescent="0.25">
      <c r="A38" s="356" t="s">
        <v>121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M38" s="113"/>
    </row>
    <row r="39" spans="1:20" s="114" customFormat="1" ht="17.25" customHeight="1" x14ac:dyDescent="0.25">
      <c r="A39" s="396"/>
      <c r="B39" s="396"/>
      <c r="C39" s="396"/>
      <c r="D39" s="396"/>
      <c r="E39" s="396"/>
      <c r="F39" s="396"/>
      <c r="G39" s="396"/>
      <c r="H39" s="396"/>
      <c r="I39" s="363" t="s">
        <v>25</v>
      </c>
      <c r="J39" s="363"/>
      <c r="K39" s="262" t="s">
        <v>20</v>
      </c>
      <c r="M39" s="111"/>
      <c r="N39" s="111"/>
      <c r="O39" s="111"/>
      <c r="P39" s="111"/>
      <c r="Q39" s="111"/>
      <c r="R39" s="111"/>
      <c r="S39" s="111"/>
      <c r="T39" s="111"/>
    </row>
    <row r="40" spans="1:20" ht="17.25" customHeight="1" x14ac:dyDescent="0.25">
      <c r="A40" s="264" t="s">
        <v>1</v>
      </c>
      <c r="B40" s="377" t="s">
        <v>122</v>
      </c>
      <c r="C40" s="377"/>
      <c r="D40" s="377"/>
      <c r="E40" s="377"/>
      <c r="F40" s="377"/>
      <c r="G40" s="377"/>
      <c r="H40" s="377"/>
      <c r="I40" s="385">
        <f>ROUND(1/12,4)</f>
        <v>8.3299999999999999E-2</v>
      </c>
      <c r="J40" s="385"/>
      <c r="K40" s="261">
        <f>ROUND(I40*$K$35,2)</f>
        <v>156.32</v>
      </c>
      <c r="M40" s="434" t="s">
        <v>248</v>
      </c>
      <c r="N40" s="435"/>
      <c r="O40" s="435"/>
      <c r="P40" s="435"/>
      <c r="Q40" s="435"/>
      <c r="R40" s="435"/>
      <c r="S40" s="435"/>
      <c r="T40" s="436"/>
    </row>
    <row r="41" spans="1:20" ht="17.25" customHeight="1" x14ac:dyDescent="0.25">
      <c r="A41" s="264" t="s">
        <v>3</v>
      </c>
      <c r="B41" s="402" t="s">
        <v>26</v>
      </c>
      <c r="C41" s="402"/>
      <c r="D41" s="402"/>
      <c r="E41" s="402"/>
      <c r="F41" s="402"/>
      <c r="G41" s="402"/>
      <c r="H41" s="402"/>
      <c r="I41" s="385">
        <f>ROUND(1/3/12,4)</f>
        <v>2.7799999999999998E-2</v>
      </c>
      <c r="J41" s="385"/>
      <c r="K41" s="261">
        <f>ROUND(I41*$K$35,2)</f>
        <v>52.17</v>
      </c>
      <c r="M41" s="437"/>
      <c r="N41" s="438"/>
      <c r="O41" s="438"/>
      <c r="P41" s="438"/>
      <c r="Q41" s="438"/>
      <c r="R41" s="438"/>
      <c r="S41" s="438"/>
      <c r="T41" s="439"/>
    </row>
    <row r="42" spans="1:20" ht="17.25" customHeight="1" x14ac:dyDescent="0.25">
      <c r="A42" s="133" t="s">
        <v>5</v>
      </c>
      <c r="B42" s="401" t="s">
        <v>141</v>
      </c>
      <c r="C42" s="401"/>
      <c r="D42" s="401"/>
      <c r="E42" s="401"/>
      <c r="F42" s="401"/>
      <c r="G42" s="401"/>
      <c r="H42" s="401"/>
      <c r="I42" s="385">
        <f>ROUND(1/12,4)</f>
        <v>8.3299999999999999E-2</v>
      </c>
      <c r="J42" s="385"/>
      <c r="K42" s="272">
        <f>ROUND(I42*$K$35,2)</f>
        <v>156.32</v>
      </c>
      <c r="M42" s="440"/>
      <c r="N42" s="441"/>
      <c r="O42" s="441"/>
      <c r="P42" s="441"/>
      <c r="Q42" s="441"/>
      <c r="R42" s="441"/>
      <c r="S42" s="441"/>
      <c r="T42" s="442"/>
    </row>
    <row r="43" spans="1:20" ht="17.25" customHeight="1" x14ac:dyDescent="0.25">
      <c r="A43" s="356" t="s">
        <v>27</v>
      </c>
      <c r="B43" s="356"/>
      <c r="C43" s="356"/>
      <c r="D43" s="356"/>
      <c r="E43" s="356"/>
      <c r="F43" s="356"/>
      <c r="G43" s="356"/>
      <c r="H43" s="356"/>
      <c r="I43" s="386">
        <f>SUM(I40:J42)</f>
        <v>0.19440000000000002</v>
      </c>
      <c r="J43" s="386"/>
      <c r="K43" s="134">
        <f>ROUND(SUM(K40:K42),2)</f>
        <v>364.81</v>
      </c>
    </row>
    <row r="44" spans="1:20" ht="6.75" customHeight="1" x14ac:dyDescent="0.25">
      <c r="A44" s="376"/>
      <c r="B44" s="376"/>
      <c r="C44" s="376"/>
      <c r="D44" s="376"/>
      <c r="E44" s="376"/>
      <c r="F44" s="376"/>
      <c r="G44" s="376"/>
      <c r="H44" s="376"/>
      <c r="I44" s="376"/>
      <c r="J44" s="376"/>
      <c r="K44" s="376"/>
    </row>
    <row r="45" spans="1:20" ht="17.25" customHeight="1" x14ac:dyDescent="0.25">
      <c r="A45" s="356" t="s">
        <v>28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</row>
    <row r="46" spans="1:20" ht="17.25" customHeight="1" x14ac:dyDescent="0.25">
      <c r="A46" s="398" t="s">
        <v>68</v>
      </c>
      <c r="B46" s="398"/>
      <c r="C46" s="398"/>
      <c r="D46" s="398"/>
      <c r="E46" s="398"/>
      <c r="F46" s="398"/>
      <c r="G46" s="398"/>
      <c r="H46" s="398"/>
      <c r="I46" s="398"/>
      <c r="J46" s="398"/>
      <c r="K46" s="134">
        <f>K35</f>
        <v>1876.6</v>
      </c>
    </row>
    <row r="47" spans="1:20" ht="17.25" customHeight="1" x14ac:dyDescent="0.25">
      <c r="A47" s="397" t="s">
        <v>79</v>
      </c>
      <c r="B47" s="397"/>
      <c r="C47" s="397"/>
      <c r="D47" s="397"/>
      <c r="E47" s="397"/>
      <c r="F47" s="397"/>
      <c r="G47" s="397"/>
      <c r="H47" s="397"/>
      <c r="I47" s="397"/>
      <c r="J47" s="397"/>
      <c r="K47" s="134">
        <f>K43</f>
        <v>364.81</v>
      </c>
    </row>
    <row r="48" spans="1:20" ht="17.25" customHeight="1" x14ac:dyDescent="0.25">
      <c r="A48" s="397" t="s">
        <v>80</v>
      </c>
      <c r="B48" s="397"/>
      <c r="C48" s="397"/>
      <c r="D48" s="397"/>
      <c r="E48" s="397"/>
      <c r="F48" s="397"/>
      <c r="G48" s="397"/>
      <c r="H48" s="397"/>
      <c r="I48" s="397"/>
      <c r="J48" s="397"/>
      <c r="K48" s="134">
        <f>SUM(K46:K47)</f>
        <v>2241.41</v>
      </c>
    </row>
    <row r="49" spans="1:20" s="114" customFormat="1" ht="17.25" customHeight="1" x14ac:dyDescent="0.25">
      <c r="A49" s="396"/>
      <c r="B49" s="396"/>
      <c r="C49" s="396"/>
      <c r="D49" s="396"/>
      <c r="E49" s="396"/>
      <c r="F49" s="396"/>
      <c r="G49" s="396"/>
      <c r="H49" s="396"/>
      <c r="I49" s="363" t="s">
        <v>25</v>
      </c>
      <c r="J49" s="363"/>
      <c r="K49" s="262" t="s">
        <v>20</v>
      </c>
      <c r="M49" s="115"/>
      <c r="N49" s="115"/>
      <c r="O49" s="115"/>
      <c r="P49" s="115"/>
      <c r="Q49" s="115"/>
      <c r="R49" s="115"/>
      <c r="S49" s="111"/>
      <c r="T49" s="111"/>
    </row>
    <row r="50" spans="1:20" ht="17.25" customHeight="1" x14ac:dyDescent="0.25">
      <c r="A50" s="264" t="s">
        <v>1</v>
      </c>
      <c r="B50" s="377" t="s">
        <v>144</v>
      </c>
      <c r="C50" s="377"/>
      <c r="D50" s="377"/>
      <c r="E50" s="377"/>
      <c r="F50" s="377"/>
      <c r="G50" s="377"/>
      <c r="H50" s="377"/>
      <c r="I50" s="383">
        <v>0.2</v>
      </c>
      <c r="J50" s="383"/>
      <c r="K50" s="261">
        <f>ROUND(I50*$K$48,2)</f>
        <v>448.28</v>
      </c>
    </row>
    <row r="51" spans="1:20" ht="17.25" customHeight="1" x14ac:dyDescent="0.25">
      <c r="A51" s="264" t="s">
        <v>3</v>
      </c>
      <c r="B51" s="377" t="s">
        <v>145</v>
      </c>
      <c r="C51" s="377"/>
      <c r="D51" s="377"/>
      <c r="E51" s="377"/>
      <c r="F51" s="377"/>
      <c r="G51" s="377"/>
      <c r="H51" s="377"/>
      <c r="I51" s="383">
        <v>2.5000000000000001E-2</v>
      </c>
      <c r="J51" s="383"/>
      <c r="K51" s="261">
        <f t="shared" ref="K51:K57" si="0">ROUND(I51*$K$48,2)</f>
        <v>56.04</v>
      </c>
    </row>
    <row r="52" spans="1:20" ht="17.25" customHeight="1" x14ac:dyDescent="0.25">
      <c r="A52" s="400" t="s">
        <v>5</v>
      </c>
      <c r="B52" s="421" t="s">
        <v>146</v>
      </c>
      <c r="C52" s="421"/>
      <c r="D52" s="421"/>
      <c r="E52" s="421"/>
      <c r="F52" s="421"/>
      <c r="G52" s="135" t="s">
        <v>118</v>
      </c>
      <c r="H52" s="135" t="s">
        <v>119</v>
      </c>
      <c r="I52" s="385">
        <f>(G53*H53)*100</f>
        <v>0.03</v>
      </c>
      <c r="J52" s="385"/>
      <c r="K52" s="399">
        <f t="shared" si="0"/>
        <v>67.239999999999995</v>
      </c>
      <c r="M52" s="387" t="s">
        <v>259</v>
      </c>
      <c r="N52" s="388"/>
      <c r="O52" s="388"/>
      <c r="P52" s="388"/>
      <c r="Q52" s="388"/>
      <c r="R52" s="388"/>
      <c r="S52" s="388"/>
      <c r="T52" s="389"/>
    </row>
    <row r="53" spans="1:20" ht="17.25" customHeight="1" x14ac:dyDescent="0.25">
      <c r="A53" s="400"/>
      <c r="B53" s="421"/>
      <c r="C53" s="421"/>
      <c r="D53" s="421"/>
      <c r="E53" s="421"/>
      <c r="F53" s="421"/>
      <c r="G53" s="265">
        <v>0.03</v>
      </c>
      <c r="H53" s="268">
        <v>0.01</v>
      </c>
      <c r="I53" s="385"/>
      <c r="J53" s="385"/>
      <c r="K53" s="399"/>
      <c r="M53" s="390"/>
      <c r="N53" s="391"/>
      <c r="O53" s="391"/>
      <c r="P53" s="391"/>
      <c r="Q53" s="391"/>
      <c r="R53" s="391"/>
      <c r="S53" s="391"/>
      <c r="T53" s="392"/>
    </row>
    <row r="54" spans="1:20" ht="17.25" customHeight="1" x14ac:dyDescent="0.25">
      <c r="A54" s="264" t="s">
        <v>6</v>
      </c>
      <c r="B54" s="377" t="s">
        <v>147</v>
      </c>
      <c r="C54" s="377"/>
      <c r="D54" s="377"/>
      <c r="E54" s="377"/>
      <c r="F54" s="377"/>
      <c r="G54" s="377"/>
      <c r="H54" s="377"/>
      <c r="I54" s="383">
        <v>1.4999999999999999E-2</v>
      </c>
      <c r="J54" s="383"/>
      <c r="K54" s="261">
        <f t="shared" si="0"/>
        <v>33.619999999999997</v>
      </c>
    </row>
    <row r="55" spans="1:20" ht="17.25" customHeight="1" x14ac:dyDescent="0.25">
      <c r="A55" s="264" t="s">
        <v>8</v>
      </c>
      <c r="B55" s="377" t="s">
        <v>148</v>
      </c>
      <c r="C55" s="377"/>
      <c r="D55" s="377"/>
      <c r="E55" s="377"/>
      <c r="F55" s="377"/>
      <c r="G55" s="377"/>
      <c r="H55" s="377"/>
      <c r="I55" s="383">
        <v>0.01</v>
      </c>
      <c r="J55" s="383"/>
      <c r="K55" s="261">
        <f t="shared" si="0"/>
        <v>22.41</v>
      </c>
    </row>
    <row r="56" spans="1:20" ht="17.25" customHeight="1" x14ac:dyDescent="0.25">
      <c r="A56" s="264" t="s">
        <v>10</v>
      </c>
      <c r="B56" s="377" t="s">
        <v>149</v>
      </c>
      <c r="C56" s="377"/>
      <c r="D56" s="377"/>
      <c r="E56" s="377"/>
      <c r="F56" s="377"/>
      <c r="G56" s="377"/>
      <c r="H56" s="377"/>
      <c r="I56" s="383">
        <v>6.0000000000000001E-3</v>
      </c>
      <c r="J56" s="383"/>
      <c r="K56" s="261">
        <f t="shared" si="0"/>
        <v>13.45</v>
      </c>
    </row>
    <row r="57" spans="1:20" ht="17.25" customHeight="1" x14ac:dyDescent="0.25">
      <c r="A57" s="264" t="s">
        <v>11</v>
      </c>
      <c r="B57" s="377" t="s">
        <v>150</v>
      </c>
      <c r="C57" s="377"/>
      <c r="D57" s="377"/>
      <c r="E57" s="377"/>
      <c r="F57" s="377"/>
      <c r="G57" s="377"/>
      <c r="H57" s="377"/>
      <c r="I57" s="383">
        <v>2E-3</v>
      </c>
      <c r="J57" s="383"/>
      <c r="K57" s="261">
        <f t="shared" si="0"/>
        <v>4.4800000000000004</v>
      </c>
    </row>
    <row r="58" spans="1:20" ht="17.25" customHeight="1" x14ac:dyDescent="0.25">
      <c r="A58" s="264" t="s">
        <v>12</v>
      </c>
      <c r="B58" s="377" t="s">
        <v>151</v>
      </c>
      <c r="C58" s="377"/>
      <c r="D58" s="377"/>
      <c r="E58" s="377"/>
      <c r="F58" s="377"/>
      <c r="G58" s="377"/>
      <c r="H58" s="377"/>
      <c r="I58" s="383">
        <v>0.08</v>
      </c>
      <c r="J58" s="383"/>
      <c r="K58" s="261">
        <f>ROUND(I58*$K$48,2)</f>
        <v>179.31</v>
      </c>
    </row>
    <row r="59" spans="1:20" ht="17.25" customHeight="1" x14ac:dyDescent="0.25">
      <c r="A59" s="356" t="s">
        <v>29</v>
      </c>
      <c r="B59" s="356"/>
      <c r="C59" s="356"/>
      <c r="D59" s="356"/>
      <c r="E59" s="356"/>
      <c r="F59" s="356"/>
      <c r="G59" s="356"/>
      <c r="H59" s="356"/>
      <c r="I59" s="386">
        <f>SUM(I50:J58)</f>
        <v>0.36800000000000005</v>
      </c>
      <c r="J59" s="386"/>
      <c r="K59" s="134">
        <f>ROUND(SUM(K50:K58),2)</f>
        <v>824.83</v>
      </c>
    </row>
    <row r="60" spans="1:20" ht="5.25" customHeight="1" x14ac:dyDescent="0.25">
      <c r="A60" s="373"/>
      <c r="B60" s="373"/>
      <c r="C60" s="373"/>
      <c r="D60" s="373"/>
      <c r="E60" s="373"/>
      <c r="F60" s="373"/>
      <c r="G60" s="373"/>
      <c r="H60" s="373"/>
      <c r="I60" s="373"/>
      <c r="J60" s="373"/>
      <c r="K60" s="373"/>
    </row>
    <row r="61" spans="1:20" ht="17.25" customHeight="1" x14ac:dyDescent="0.25">
      <c r="A61" s="356" t="s">
        <v>30</v>
      </c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M61" s="403" t="s">
        <v>155</v>
      </c>
      <c r="N61" s="404"/>
      <c r="O61" s="404"/>
      <c r="P61" s="404"/>
      <c r="Q61" s="404"/>
      <c r="R61" s="404"/>
      <c r="S61" s="404"/>
      <c r="T61" s="405"/>
    </row>
    <row r="62" spans="1:20" ht="17.25" customHeight="1" x14ac:dyDescent="0.25">
      <c r="A62" s="381"/>
      <c r="B62" s="381"/>
      <c r="C62" s="381"/>
      <c r="D62" s="381"/>
      <c r="E62" s="381"/>
      <c r="F62" s="381"/>
      <c r="G62" s="381"/>
      <c r="H62" s="381"/>
      <c r="I62" s="381"/>
      <c r="J62" s="381"/>
      <c r="K62" s="262" t="s">
        <v>20</v>
      </c>
      <c r="M62" s="406"/>
      <c r="N62" s="407"/>
      <c r="O62" s="407"/>
      <c r="P62" s="407"/>
      <c r="Q62" s="407"/>
      <c r="R62" s="407"/>
      <c r="S62" s="407"/>
      <c r="T62" s="408"/>
    </row>
    <row r="63" spans="1:20" ht="17.25" customHeight="1" x14ac:dyDescent="0.25">
      <c r="A63" s="357" t="s">
        <v>1</v>
      </c>
      <c r="B63" s="350" t="s">
        <v>128</v>
      </c>
      <c r="C63" s="350"/>
      <c r="D63" s="350"/>
      <c r="E63" s="350"/>
      <c r="F63" s="350"/>
      <c r="G63" s="351"/>
      <c r="H63" s="351"/>
      <c r="I63" s="351"/>
      <c r="J63" s="351"/>
      <c r="K63" s="366">
        <f>ROUND((B65*E65*F65)-G65,2)</f>
        <v>293.95999999999998</v>
      </c>
    </row>
    <row r="64" spans="1:20" ht="17.25" customHeight="1" x14ac:dyDescent="0.25">
      <c r="A64" s="357"/>
      <c r="B64" s="420" t="s">
        <v>34</v>
      </c>
      <c r="C64" s="420"/>
      <c r="D64" s="420"/>
      <c r="E64" s="264" t="s">
        <v>32</v>
      </c>
      <c r="F64" s="266" t="s">
        <v>35</v>
      </c>
      <c r="G64" s="420" t="s">
        <v>139</v>
      </c>
      <c r="H64" s="420"/>
      <c r="I64" s="420"/>
      <c r="J64" s="420"/>
      <c r="K64" s="366"/>
    </row>
    <row r="65" spans="1:20" ht="17.25" customHeight="1" x14ac:dyDescent="0.25">
      <c r="A65" s="357"/>
      <c r="B65" s="379">
        <v>2</v>
      </c>
      <c r="C65" s="379"/>
      <c r="D65" s="379"/>
      <c r="E65" s="151">
        <v>22</v>
      </c>
      <c r="F65" s="269">
        <v>9.24</v>
      </c>
      <c r="G65" s="366">
        <f>0.06*K26</f>
        <v>112.59599999999999</v>
      </c>
      <c r="H65" s="366"/>
      <c r="I65" s="366"/>
      <c r="J65" s="366"/>
      <c r="K65" s="366"/>
    </row>
    <row r="66" spans="1:20" ht="17.25" customHeight="1" x14ac:dyDescent="0.25">
      <c r="A66" s="347" t="s">
        <v>3</v>
      </c>
      <c r="B66" s="350" t="s">
        <v>129</v>
      </c>
      <c r="C66" s="350"/>
      <c r="D66" s="350"/>
      <c r="E66" s="350"/>
      <c r="F66" s="350"/>
      <c r="G66" s="351" t="s">
        <v>613</v>
      </c>
      <c r="H66" s="351"/>
      <c r="I66" s="351"/>
      <c r="J66" s="351"/>
      <c r="K66" s="261"/>
      <c r="M66" s="639" t="s">
        <v>614</v>
      </c>
      <c r="N66" s="639"/>
      <c r="O66" s="639"/>
      <c r="P66" s="639"/>
      <c r="Q66" s="639"/>
      <c r="R66" s="639"/>
      <c r="S66" s="639"/>
      <c r="T66" s="639"/>
    </row>
    <row r="67" spans="1:20" ht="17.25" customHeight="1" x14ac:dyDescent="0.25">
      <c r="A67" s="348"/>
      <c r="B67" s="352" t="s">
        <v>133</v>
      </c>
      <c r="C67" s="353"/>
      <c r="D67" s="353"/>
      <c r="E67" s="354"/>
      <c r="F67" s="266" t="s">
        <v>19</v>
      </c>
      <c r="G67" s="266" t="s">
        <v>134</v>
      </c>
      <c r="H67" s="352" t="s">
        <v>612</v>
      </c>
      <c r="I67" s="353"/>
      <c r="J67" s="354"/>
      <c r="K67" s="345">
        <f>G68*H68</f>
        <v>0.33778799999999992</v>
      </c>
      <c r="M67" s="639"/>
      <c r="N67" s="639"/>
      <c r="O67" s="639"/>
      <c r="P67" s="639"/>
      <c r="Q67" s="639"/>
      <c r="R67" s="639"/>
      <c r="S67" s="639"/>
      <c r="T67" s="639"/>
    </row>
    <row r="68" spans="1:20" ht="17.25" customHeight="1" x14ac:dyDescent="0.25">
      <c r="A68" s="349"/>
      <c r="B68" s="640">
        <f>K26</f>
        <v>1876.6</v>
      </c>
      <c r="C68" s="641"/>
      <c r="D68" s="641"/>
      <c r="E68" s="642"/>
      <c r="F68" s="268">
        <v>0.3</v>
      </c>
      <c r="G68" s="263">
        <f>B68*F68</f>
        <v>562.9799999999999</v>
      </c>
      <c r="H68" s="643">
        <v>5.9999999999999995E-4</v>
      </c>
      <c r="I68" s="644"/>
      <c r="J68" s="645"/>
      <c r="K68" s="346"/>
      <c r="M68" s="639"/>
      <c r="N68" s="639"/>
      <c r="O68" s="639"/>
      <c r="P68" s="639"/>
      <c r="Q68" s="639"/>
      <c r="R68" s="639"/>
      <c r="S68" s="639"/>
      <c r="T68" s="639"/>
    </row>
    <row r="69" spans="1:20" ht="17.25" customHeight="1" x14ac:dyDescent="0.25">
      <c r="A69" s="264" t="s">
        <v>5</v>
      </c>
      <c r="B69" s="418" t="s">
        <v>83</v>
      </c>
      <c r="C69" s="418"/>
      <c r="D69" s="418"/>
      <c r="E69" s="418"/>
      <c r="F69" s="418"/>
      <c r="G69" s="418"/>
      <c r="H69" s="418"/>
      <c r="I69" s="418"/>
      <c r="J69" s="418"/>
      <c r="K69" s="269"/>
    </row>
    <row r="70" spans="1:20" ht="17.25" customHeight="1" x14ac:dyDescent="0.25">
      <c r="A70" s="356" t="s">
        <v>36</v>
      </c>
      <c r="B70" s="356"/>
      <c r="C70" s="356"/>
      <c r="D70" s="356"/>
      <c r="E70" s="356"/>
      <c r="F70" s="356"/>
      <c r="G70" s="356"/>
      <c r="H70" s="356"/>
      <c r="I70" s="356"/>
      <c r="J70" s="356"/>
      <c r="K70" s="134">
        <f>ROUND(SUM(K62:K69),2)</f>
        <v>294.3</v>
      </c>
    </row>
    <row r="71" spans="1:20" ht="17.25" customHeight="1" x14ac:dyDescent="0.25">
      <c r="A71" s="363" t="s">
        <v>37</v>
      </c>
      <c r="B71" s="363"/>
      <c r="C71" s="363"/>
      <c r="D71" s="363"/>
      <c r="E71" s="363"/>
      <c r="F71" s="363"/>
      <c r="G71" s="363"/>
      <c r="H71" s="363"/>
      <c r="I71" s="363"/>
      <c r="J71" s="363"/>
      <c r="K71" s="132">
        <f>ROUND(SUM(K70,K59,K43),2)</f>
        <v>1483.94</v>
      </c>
    </row>
    <row r="72" spans="1:20" ht="6.75" customHeight="1" x14ac:dyDescent="0.25">
      <c r="A72" s="362"/>
      <c r="B72" s="362"/>
      <c r="C72" s="362"/>
      <c r="D72" s="362"/>
      <c r="E72" s="362"/>
      <c r="F72" s="362"/>
      <c r="G72" s="362"/>
      <c r="H72" s="362"/>
      <c r="I72" s="362"/>
      <c r="J72" s="362"/>
      <c r="K72" s="362"/>
    </row>
    <row r="73" spans="1:20" ht="17.25" customHeight="1" x14ac:dyDescent="0.25">
      <c r="A73" s="419" t="s">
        <v>38</v>
      </c>
      <c r="B73" s="419"/>
      <c r="C73" s="419"/>
      <c r="D73" s="419"/>
      <c r="E73" s="419"/>
      <c r="F73" s="419"/>
      <c r="G73" s="419"/>
      <c r="H73" s="419"/>
      <c r="I73" s="419"/>
      <c r="J73" s="419"/>
      <c r="K73" s="419"/>
      <c r="M73" s="380"/>
      <c r="N73" s="380"/>
      <c r="O73" s="380"/>
      <c r="P73" s="380"/>
      <c r="Q73" s="380"/>
      <c r="R73" s="380"/>
      <c r="S73" s="380"/>
      <c r="T73" s="380"/>
    </row>
    <row r="74" spans="1:20" ht="17.25" customHeight="1" x14ac:dyDescent="0.25">
      <c r="A74" s="356" t="s">
        <v>249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M74" s="380"/>
      <c r="N74" s="380"/>
      <c r="O74" s="380"/>
      <c r="P74" s="380"/>
      <c r="Q74" s="380"/>
      <c r="R74" s="380"/>
      <c r="S74" s="380"/>
      <c r="T74" s="380"/>
    </row>
    <row r="75" spans="1:20" ht="17.25" customHeight="1" x14ac:dyDescent="0.25">
      <c r="A75" s="355" t="s">
        <v>68</v>
      </c>
      <c r="B75" s="355"/>
      <c r="C75" s="355"/>
      <c r="D75" s="355"/>
      <c r="E75" s="355"/>
      <c r="F75" s="355"/>
      <c r="G75" s="355"/>
      <c r="H75" s="355"/>
      <c r="I75" s="355"/>
      <c r="J75" s="355"/>
      <c r="K75" s="141">
        <f>K35</f>
        <v>1876.6</v>
      </c>
      <c r="M75" s="380"/>
      <c r="N75" s="380"/>
      <c r="O75" s="380"/>
      <c r="P75" s="380"/>
      <c r="Q75" s="380"/>
      <c r="R75" s="380"/>
      <c r="S75" s="380"/>
      <c r="T75" s="380"/>
    </row>
    <row r="76" spans="1:20" ht="17.25" customHeight="1" x14ac:dyDescent="0.25">
      <c r="A76" s="355" t="s">
        <v>250</v>
      </c>
      <c r="B76" s="355"/>
      <c r="C76" s="355"/>
      <c r="D76" s="355"/>
      <c r="E76" s="355"/>
      <c r="F76" s="355"/>
      <c r="G76" s="355"/>
      <c r="H76" s="355"/>
      <c r="I76" s="355"/>
      <c r="J76" s="355"/>
      <c r="K76" s="141">
        <f>K43</f>
        <v>364.81</v>
      </c>
      <c r="M76" s="380"/>
      <c r="N76" s="380"/>
      <c r="O76" s="380"/>
      <c r="P76" s="380"/>
      <c r="Q76" s="380"/>
      <c r="R76" s="380"/>
      <c r="S76" s="380"/>
      <c r="T76" s="380"/>
    </row>
    <row r="77" spans="1:20" ht="17.25" customHeight="1" x14ac:dyDescent="0.25">
      <c r="A77" s="355" t="s">
        <v>301</v>
      </c>
      <c r="B77" s="355"/>
      <c r="C77" s="355"/>
      <c r="D77" s="355"/>
      <c r="E77" s="355"/>
      <c r="F77" s="355"/>
      <c r="G77" s="355"/>
      <c r="H77" s="355"/>
      <c r="I77" s="355"/>
      <c r="J77" s="355"/>
      <c r="K77" s="141">
        <f>K58</f>
        <v>179.31</v>
      </c>
      <c r="M77" s="380"/>
      <c r="N77" s="380"/>
      <c r="O77" s="380"/>
      <c r="P77" s="380"/>
      <c r="Q77" s="380"/>
      <c r="R77" s="380"/>
      <c r="S77" s="380"/>
      <c r="T77" s="380"/>
    </row>
    <row r="78" spans="1:20" ht="17.25" customHeight="1" x14ac:dyDescent="0.25">
      <c r="A78" s="355" t="s">
        <v>30</v>
      </c>
      <c r="B78" s="355"/>
      <c r="C78" s="355"/>
      <c r="D78" s="355"/>
      <c r="E78" s="355"/>
      <c r="F78" s="355"/>
      <c r="G78" s="355"/>
      <c r="H78" s="355"/>
      <c r="I78" s="355"/>
      <c r="J78" s="355"/>
      <c r="K78" s="141">
        <f>K70</f>
        <v>294.3</v>
      </c>
      <c r="M78" s="380"/>
      <c r="N78" s="380"/>
      <c r="O78" s="380"/>
      <c r="P78" s="380"/>
      <c r="Q78" s="380"/>
      <c r="R78" s="380"/>
      <c r="S78" s="380"/>
      <c r="T78" s="380"/>
    </row>
    <row r="79" spans="1:20" ht="17.25" customHeight="1" x14ac:dyDescent="0.25">
      <c r="A79" s="355" t="s">
        <v>302</v>
      </c>
      <c r="B79" s="355"/>
      <c r="C79" s="355"/>
      <c r="D79" s="355"/>
      <c r="E79" s="355"/>
      <c r="F79" s="355"/>
      <c r="G79" s="355"/>
      <c r="H79" s="355"/>
      <c r="I79" s="355"/>
      <c r="J79" s="355"/>
      <c r="K79" s="141">
        <f>SUM(K75:K78)</f>
        <v>2715.02</v>
      </c>
      <c r="M79" s="380"/>
      <c r="N79" s="380"/>
      <c r="O79" s="380"/>
      <c r="P79" s="380"/>
      <c r="Q79" s="380"/>
      <c r="R79" s="380"/>
      <c r="S79" s="380"/>
      <c r="T79" s="380"/>
    </row>
    <row r="80" spans="1:20" ht="17.25" customHeight="1" x14ac:dyDescent="0.25">
      <c r="A80" s="355" t="s">
        <v>251</v>
      </c>
      <c r="B80" s="355"/>
      <c r="C80" s="355"/>
      <c r="D80" s="355"/>
      <c r="E80" s="355"/>
      <c r="F80" s="355"/>
      <c r="G80" s="355"/>
      <c r="H80" s="355"/>
      <c r="I80" s="355"/>
      <c r="J80" s="355"/>
      <c r="K80" s="141">
        <f>ROUND(K79/12,2)</f>
        <v>226.25</v>
      </c>
      <c r="M80" s="380"/>
      <c r="N80" s="380"/>
      <c r="O80" s="380"/>
      <c r="P80" s="380"/>
      <c r="Q80" s="380"/>
      <c r="R80" s="380"/>
      <c r="S80" s="380"/>
      <c r="T80" s="380"/>
    </row>
    <row r="81" spans="1:20" ht="17.25" customHeight="1" x14ac:dyDescent="0.25">
      <c r="A81" s="355" t="s">
        <v>303</v>
      </c>
      <c r="B81" s="355"/>
      <c r="C81" s="355"/>
      <c r="D81" s="355"/>
      <c r="E81" s="355"/>
      <c r="F81" s="355"/>
      <c r="G81" s="355"/>
      <c r="H81" s="355"/>
      <c r="I81" s="355"/>
      <c r="J81" s="355"/>
      <c r="K81" s="141">
        <f>ROUND(K77*40%,2)</f>
        <v>71.72</v>
      </c>
      <c r="M81" s="380"/>
      <c r="N81" s="380"/>
      <c r="O81" s="380"/>
      <c r="P81" s="380"/>
      <c r="Q81" s="380"/>
      <c r="R81" s="380"/>
      <c r="S81" s="380"/>
      <c r="T81" s="380"/>
    </row>
    <row r="82" spans="1:20" ht="17.25" customHeight="1" x14ac:dyDescent="0.25">
      <c r="A82" s="357" t="s">
        <v>252</v>
      </c>
      <c r="B82" s="357"/>
      <c r="C82" s="357"/>
      <c r="D82" s="357"/>
      <c r="E82" s="357"/>
      <c r="F82" s="357"/>
      <c r="G82" s="357"/>
      <c r="H82" s="357"/>
      <c r="I82" s="357"/>
      <c r="J82" s="357"/>
      <c r="K82" s="261">
        <f>ROUND(K80+K81,2)</f>
        <v>297.97000000000003</v>
      </c>
      <c r="M82" s="380"/>
      <c r="N82" s="380"/>
      <c r="O82" s="380"/>
      <c r="P82" s="380"/>
      <c r="Q82" s="380"/>
      <c r="R82" s="380"/>
      <c r="S82" s="380"/>
      <c r="T82" s="380"/>
    </row>
    <row r="83" spans="1:20" ht="17.25" customHeight="1" x14ac:dyDescent="0.25">
      <c r="A83" s="357" t="s">
        <v>255</v>
      </c>
      <c r="B83" s="357"/>
      <c r="C83" s="357"/>
      <c r="D83" s="357"/>
      <c r="E83" s="357"/>
      <c r="F83" s="357"/>
      <c r="G83" s="357"/>
      <c r="H83" s="373" t="s">
        <v>253</v>
      </c>
      <c r="I83" s="373"/>
      <c r="J83" s="373"/>
      <c r="K83" s="142" t="s">
        <v>254</v>
      </c>
      <c r="M83" s="380"/>
      <c r="N83" s="380"/>
      <c r="O83" s="380"/>
      <c r="P83" s="380"/>
      <c r="Q83" s="380"/>
      <c r="R83" s="380"/>
      <c r="S83" s="380"/>
      <c r="T83" s="380"/>
    </row>
    <row r="84" spans="1:20" ht="17.25" customHeight="1" x14ac:dyDescent="0.25">
      <c r="A84" s="357"/>
      <c r="B84" s="357"/>
      <c r="C84" s="357"/>
      <c r="D84" s="357"/>
      <c r="E84" s="357"/>
      <c r="F84" s="357"/>
      <c r="G84" s="357"/>
      <c r="H84" s="383">
        <v>0.5</v>
      </c>
      <c r="I84" s="383"/>
      <c r="J84" s="383"/>
      <c r="K84" s="261">
        <f>ROUND(H84*K82,2)</f>
        <v>148.99</v>
      </c>
      <c r="M84" s="380"/>
      <c r="N84" s="380"/>
      <c r="O84" s="380"/>
      <c r="P84" s="380"/>
      <c r="Q84" s="380"/>
      <c r="R84" s="380"/>
      <c r="S84" s="380"/>
      <c r="T84" s="380"/>
    </row>
    <row r="85" spans="1:20" ht="17.25" customHeight="1" x14ac:dyDescent="0.25">
      <c r="A85" s="356" t="s">
        <v>304</v>
      </c>
      <c r="B85" s="356"/>
      <c r="C85" s="356"/>
      <c r="D85" s="356"/>
      <c r="E85" s="356"/>
      <c r="F85" s="356"/>
      <c r="G85" s="356"/>
      <c r="H85" s="356"/>
      <c r="I85" s="356"/>
      <c r="J85" s="356"/>
      <c r="K85" s="134">
        <f>ROUND(K84,2)</f>
        <v>148.99</v>
      </c>
      <c r="M85" s="380"/>
      <c r="N85" s="380"/>
      <c r="O85" s="380"/>
      <c r="P85" s="380"/>
      <c r="Q85" s="380"/>
      <c r="R85" s="380"/>
      <c r="S85" s="380"/>
      <c r="T85" s="380"/>
    </row>
    <row r="86" spans="1:20" ht="17.25" customHeight="1" x14ac:dyDescent="0.25">
      <c r="A86" s="384" t="s">
        <v>256</v>
      </c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M86" s="380"/>
      <c r="N86" s="380"/>
      <c r="O86" s="380"/>
      <c r="P86" s="380"/>
      <c r="Q86" s="380"/>
      <c r="R86" s="380"/>
      <c r="S86" s="380"/>
      <c r="T86" s="380"/>
    </row>
    <row r="87" spans="1:20" ht="17.25" customHeight="1" x14ac:dyDescent="0.25">
      <c r="A87" s="355" t="s">
        <v>303</v>
      </c>
      <c r="B87" s="355"/>
      <c r="C87" s="355"/>
      <c r="D87" s="355"/>
      <c r="E87" s="355"/>
      <c r="F87" s="355"/>
      <c r="G87" s="355"/>
      <c r="H87" s="355"/>
      <c r="I87" s="355"/>
      <c r="J87" s="355"/>
      <c r="K87" s="141">
        <f>ROUND(K77*40%,2)</f>
        <v>71.72</v>
      </c>
      <c r="M87" s="380"/>
      <c r="N87" s="380"/>
      <c r="O87" s="380"/>
      <c r="P87" s="380"/>
      <c r="Q87" s="380"/>
      <c r="R87" s="380"/>
      <c r="S87" s="380"/>
      <c r="T87" s="380"/>
    </row>
    <row r="88" spans="1:20" ht="17.25" customHeight="1" x14ac:dyDescent="0.25">
      <c r="A88" s="357" t="s">
        <v>257</v>
      </c>
      <c r="B88" s="357"/>
      <c r="C88" s="357"/>
      <c r="D88" s="357"/>
      <c r="E88" s="357"/>
      <c r="F88" s="357"/>
      <c r="G88" s="357"/>
      <c r="H88" s="357"/>
      <c r="I88" s="357"/>
      <c r="J88" s="357"/>
      <c r="K88" s="261">
        <f>K87</f>
        <v>71.72</v>
      </c>
      <c r="M88" s="380"/>
      <c r="N88" s="380"/>
      <c r="O88" s="380"/>
      <c r="P88" s="380"/>
      <c r="Q88" s="380"/>
      <c r="R88" s="380"/>
      <c r="S88" s="380"/>
      <c r="T88" s="380"/>
    </row>
    <row r="89" spans="1:20" ht="17.25" customHeight="1" x14ac:dyDescent="0.25">
      <c r="A89" s="357" t="s">
        <v>258</v>
      </c>
      <c r="B89" s="357"/>
      <c r="C89" s="357"/>
      <c r="D89" s="357"/>
      <c r="E89" s="357"/>
      <c r="F89" s="357"/>
      <c r="G89" s="357"/>
      <c r="H89" s="373" t="s">
        <v>253</v>
      </c>
      <c r="I89" s="373"/>
      <c r="J89" s="373"/>
      <c r="K89" s="142" t="s">
        <v>254</v>
      </c>
      <c r="M89" s="380"/>
      <c r="N89" s="380"/>
      <c r="O89" s="380"/>
      <c r="P89" s="380"/>
      <c r="Q89" s="380"/>
      <c r="R89" s="380"/>
      <c r="S89" s="380"/>
      <c r="T89" s="380"/>
    </row>
    <row r="90" spans="1:20" ht="17.25" customHeight="1" x14ac:dyDescent="0.25">
      <c r="A90" s="357"/>
      <c r="B90" s="357"/>
      <c r="C90" s="357"/>
      <c r="D90" s="357"/>
      <c r="E90" s="357"/>
      <c r="F90" s="357"/>
      <c r="G90" s="357"/>
      <c r="H90" s="383">
        <v>0.5</v>
      </c>
      <c r="I90" s="383"/>
      <c r="J90" s="383"/>
      <c r="K90" s="261">
        <f>ROUND(H90*K88,2)</f>
        <v>35.86</v>
      </c>
      <c r="M90" s="380"/>
      <c r="N90" s="380"/>
      <c r="O90" s="380"/>
      <c r="P90" s="380"/>
      <c r="Q90" s="380"/>
      <c r="R90" s="380"/>
      <c r="S90" s="380"/>
      <c r="T90" s="380"/>
    </row>
    <row r="91" spans="1:20" ht="17.25" customHeight="1" x14ac:dyDescent="0.25">
      <c r="A91" s="356" t="s">
        <v>305</v>
      </c>
      <c r="B91" s="356"/>
      <c r="C91" s="356"/>
      <c r="D91" s="356"/>
      <c r="E91" s="356"/>
      <c r="F91" s="356"/>
      <c r="G91" s="356"/>
      <c r="H91" s="356"/>
      <c r="I91" s="356"/>
      <c r="J91" s="356"/>
      <c r="K91" s="134">
        <f>ROUND(K90,2)</f>
        <v>35.86</v>
      </c>
      <c r="M91" s="380"/>
      <c r="N91" s="380"/>
      <c r="O91" s="380"/>
      <c r="P91" s="380"/>
      <c r="Q91" s="380"/>
      <c r="R91" s="380"/>
      <c r="S91" s="380"/>
      <c r="T91" s="380"/>
    </row>
    <row r="92" spans="1:20" ht="17.25" customHeight="1" x14ac:dyDescent="0.25">
      <c r="A92" s="384" t="s">
        <v>331</v>
      </c>
      <c r="B92" s="384"/>
      <c r="C92" s="384"/>
      <c r="D92" s="384"/>
      <c r="E92" s="384"/>
      <c r="F92" s="384"/>
      <c r="G92" s="384"/>
      <c r="H92" s="384"/>
      <c r="I92" s="384"/>
      <c r="J92" s="384"/>
      <c r="K92" s="384"/>
      <c r="M92" s="380"/>
      <c r="N92" s="380"/>
      <c r="O92" s="380"/>
      <c r="P92" s="380"/>
      <c r="Q92" s="380"/>
      <c r="R92" s="380"/>
      <c r="S92" s="380"/>
      <c r="T92" s="380"/>
    </row>
    <row r="93" spans="1:20" ht="17.25" customHeight="1" x14ac:dyDescent="0.25">
      <c r="A93" s="409" t="s">
        <v>332</v>
      </c>
      <c r="B93" s="409"/>
      <c r="C93" s="409"/>
      <c r="D93" s="409"/>
      <c r="E93" s="409"/>
      <c r="F93" s="409"/>
      <c r="G93" s="409"/>
      <c r="H93" s="409"/>
      <c r="I93" s="409"/>
      <c r="J93" s="409"/>
      <c r="K93" s="141">
        <f>K85+K91</f>
        <v>184.85000000000002</v>
      </c>
      <c r="M93" s="380"/>
      <c r="N93" s="380"/>
      <c r="O93" s="380"/>
      <c r="P93" s="380"/>
      <c r="Q93" s="380"/>
      <c r="R93" s="380"/>
      <c r="S93" s="380"/>
      <c r="T93" s="380"/>
    </row>
    <row r="94" spans="1:20" ht="17.25" customHeight="1" x14ac:dyDescent="0.25">
      <c r="A94" s="409" t="s">
        <v>333</v>
      </c>
      <c r="B94" s="409"/>
      <c r="C94" s="409"/>
      <c r="D94" s="409"/>
      <c r="E94" s="409"/>
      <c r="F94" s="409"/>
      <c r="G94" s="409"/>
      <c r="H94" s="409"/>
      <c r="I94" s="409"/>
      <c r="J94" s="409"/>
      <c r="K94" s="141">
        <f>K93/10</f>
        <v>18.485000000000003</v>
      </c>
      <c r="M94" s="380"/>
      <c r="N94" s="380"/>
      <c r="O94" s="380"/>
      <c r="P94" s="380"/>
      <c r="Q94" s="380"/>
      <c r="R94" s="380"/>
      <c r="S94" s="380"/>
      <c r="T94" s="380"/>
    </row>
    <row r="95" spans="1:20" ht="30" customHeight="1" x14ac:dyDescent="0.25">
      <c r="A95" s="357" t="s">
        <v>306</v>
      </c>
      <c r="B95" s="357"/>
      <c r="C95" s="357"/>
      <c r="D95" s="357"/>
      <c r="E95" s="357"/>
      <c r="F95" s="357"/>
      <c r="G95" s="357"/>
      <c r="H95" s="410" t="s">
        <v>307</v>
      </c>
      <c r="I95" s="410"/>
      <c r="J95" s="410"/>
      <c r="K95" s="142" t="s">
        <v>254</v>
      </c>
      <c r="M95" s="380"/>
      <c r="N95" s="380"/>
      <c r="O95" s="380"/>
      <c r="P95" s="380"/>
      <c r="Q95" s="380"/>
      <c r="R95" s="380"/>
      <c r="S95" s="380"/>
      <c r="T95" s="380"/>
    </row>
    <row r="96" spans="1:20" ht="17.25" customHeight="1" x14ac:dyDescent="0.25">
      <c r="A96" s="357"/>
      <c r="B96" s="357"/>
      <c r="C96" s="357"/>
      <c r="D96" s="357"/>
      <c r="E96" s="357"/>
      <c r="F96" s="357"/>
      <c r="G96" s="357"/>
      <c r="H96" s="360">
        <v>0</v>
      </c>
      <c r="I96" s="360"/>
      <c r="J96" s="360"/>
      <c r="K96" s="261">
        <f>ROUND(K94*H96,2)</f>
        <v>0</v>
      </c>
      <c r="M96" s="380"/>
      <c r="N96" s="380"/>
      <c r="O96" s="380"/>
      <c r="P96" s="380"/>
      <c r="Q96" s="380"/>
      <c r="R96" s="380"/>
      <c r="S96" s="380"/>
      <c r="T96" s="380"/>
    </row>
    <row r="97" spans="1:20" ht="17.25" customHeight="1" x14ac:dyDescent="0.25">
      <c r="A97" s="356" t="s">
        <v>308</v>
      </c>
      <c r="B97" s="356"/>
      <c r="C97" s="356"/>
      <c r="D97" s="356"/>
      <c r="E97" s="356"/>
      <c r="F97" s="356"/>
      <c r="G97" s="356"/>
      <c r="H97" s="356"/>
      <c r="I97" s="356"/>
      <c r="J97" s="356"/>
      <c r="K97" s="134">
        <f>K96</f>
        <v>0</v>
      </c>
      <c r="M97" s="380"/>
      <c r="N97" s="380"/>
      <c r="O97" s="380"/>
      <c r="P97" s="380"/>
      <c r="Q97" s="380"/>
      <c r="R97" s="380"/>
      <c r="S97" s="380"/>
      <c r="T97" s="380"/>
    </row>
    <row r="98" spans="1:20" ht="17.25" customHeight="1" x14ac:dyDescent="0.25">
      <c r="A98" s="361" t="s">
        <v>43</v>
      </c>
      <c r="B98" s="361"/>
      <c r="C98" s="361"/>
      <c r="D98" s="361"/>
      <c r="E98" s="361"/>
      <c r="F98" s="361"/>
      <c r="G98" s="361"/>
      <c r="H98" s="361"/>
      <c r="I98" s="361"/>
      <c r="J98" s="361"/>
      <c r="K98" s="143">
        <f>K85+K91+K97</f>
        <v>184.85000000000002</v>
      </c>
      <c r="M98" s="380"/>
      <c r="N98" s="380"/>
      <c r="O98" s="380"/>
      <c r="P98" s="380"/>
      <c r="Q98" s="380"/>
      <c r="R98" s="380"/>
      <c r="S98" s="380"/>
      <c r="T98" s="380"/>
    </row>
    <row r="99" spans="1:20" ht="9.75" customHeight="1" x14ac:dyDescent="0.25">
      <c r="A99" s="362"/>
      <c r="B99" s="362"/>
      <c r="C99" s="362"/>
      <c r="D99" s="362"/>
      <c r="E99" s="362"/>
      <c r="F99" s="362"/>
      <c r="G99" s="362"/>
      <c r="H99" s="362"/>
      <c r="I99" s="362"/>
      <c r="J99" s="362"/>
      <c r="K99" s="362"/>
      <c r="M99" s="380"/>
      <c r="N99" s="380"/>
      <c r="O99" s="380"/>
      <c r="P99" s="380"/>
      <c r="Q99" s="380"/>
      <c r="R99" s="380"/>
      <c r="S99" s="380"/>
      <c r="T99" s="380"/>
    </row>
    <row r="100" spans="1:20" ht="17.25" customHeight="1" x14ac:dyDescent="0.25">
      <c r="A100" s="363" t="s">
        <v>44</v>
      </c>
      <c r="B100" s="363"/>
      <c r="C100" s="363"/>
      <c r="D100" s="363"/>
      <c r="E100" s="363"/>
      <c r="F100" s="363"/>
      <c r="G100" s="363"/>
      <c r="H100" s="363"/>
      <c r="I100" s="363"/>
      <c r="J100" s="363"/>
      <c r="K100" s="363"/>
      <c r="M100" s="380"/>
      <c r="N100" s="380"/>
      <c r="O100" s="380"/>
      <c r="P100" s="380"/>
      <c r="Q100" s="380"/>
      <c r="R100" s="380"/>
      <c r="S100" s="380"/>
      <c r="T100" s="380"/>
    </row>
    <row r="101" spans="1:20" ht="17.25" customHeight="1" x14ac:dyDescent="0.25">
      <c r="A101" s="356" t="s">
        <v>85</v>
      </c>
      <c r="B101" s="356"/>
      <c r="C101" s="356"/>
      <c r="D101" s="356"/>
      <c r="E101" s="356"/>
      <c r="F101" s="356"/>
      <c r="G101" s="356"/>
      <c r="H101" s="356"/>
      <c r="I101" s="356"/>
      <c r="J101" s="356"/>
      <c r="K101" s="356"/>
      <c r="M101" s="380"/>
      <c r="N101" s="380"/>
      <c r="O101" s="380"/>
      <c r="P101" s="380"/>
      <c r="Q101" s="380"/>
      <c r="R101" s="380"/>
      <c r="S101" s="380"/>
      <c r="T101" s="380"/>
    </row>
    <row r="102" spans="1:20" ht="17.25" customHeight="1" x14ac:dyDescent="0.25">
      <c r="A102" s="356" t="s">
        <v>309</v>
      </c>
      <c r="B102" s="356"/>
      <c r="C102" s="356"/>
      <c r="D102" s="356"/>
      <c r="E102" s="356"/>
      <c r="F102" s="356"/>
      <c r="G102" s="356"/>
      <c r="H102" s="356"/>
      <c r="I102" s="356"/>
      <c r="J102" s="356"/>
      <c r="K102" s="356"/>
      <c r="M102" s="380"/>
      <c r="N102" s="380"/>
      <c r="O102" s="380"/>
      <c r="P102" s="380"/>
      <c r="Q102" s="380"/>
      <c r="R102" s="380"/>
      <c r="S102" s="380"/>
      <c r="T102" s="380"/>
    </row>
    <row r="103" spans="1:20" ht="39.75" customHeight="1" x14ac:dyDescent="0.25">
      <c r="A103" s="356" t="s">
        <v>310</v>
      </c>
      <c r="B103" s="356"/>
      <c r="C103" s="356"/>
      <c r="D103" s="356"/>
      <c r="E103" s="356"/>
      <c r="F103" s="270" t="s">
        <v>311</v>
      </c>
      <c r="G103" s="144" t="s">
        <v>312</v>
      </c>
      <c r="H103" s="356" t="s">
        <v>313</v>
      </c>
      <c r="I103" s="356"/>
      <c r="J103" s="356"/>
      <c r="K103" s="270" t="s">
        <v>314</v>
      </c>
      <c r="M103" s="380"/>
      <c r="N103" s="380"/>
      <c r="O103" s="380"/>
      <c r="P103" s="380"/>
      <c r="Q103" s="380"/>
      <c r="R103" s="380"/>
      <c r="S103" s="380"/>
      <c r="T103" s="380"/>
    </row>
    <row r="104" spans="1:20" ht="17.25" customHeight="1" x14ac:dyDescent="0.25">
      <c r="A104" s="357" t="s">
        <v>315</v>
      </c>
      <c r="B104" s="357"/>
      <c r="C104" s="357"/>
      <c r="D104" s="357"/>
      <c r="E104" s="357"/>
      <c r="F104" s="152">
        <v>1</v>
      </c>
      <c r="G104" s="264">
        <v>30</v>
      </c>
      <c r="H104" s="358">
        <f>255/365</f>
        <v>0.69863013698630139</v>
      </c>
      <c r="I104" s="358"/>
      <c r="J104" s="358"/>
      <c r="K104" s="145">
        <f>ROUND(F104*G104*H104,4)</f>
        <v>20.9589</v>
      </c>
      <c r="M104" s="380"/>
      <c r="N104" s="380"/>
      <c r="O104" s="380"/>
      <c r="P104" s="380"/>
      <c r="Q104" s="380"/>
      <c r="R104" s="380"/>
      <c r="S104" s="380"/>
      <c r="T104" s="380"/>
    </row>
    <row r="105" spans="1:20" ht="17.25" customHeight="1" x14ac:dyDescent="0.25">
      <c r="A105" s="357" t="s">
        <v>316</v>
      </c>
      <c r="B105" s="357"/>
      <c r="C105" s="357"/>
      <c r="D105" s="357"/>
      <c r="E105" s="357"/>
      <c r="F105" s="152">
        <v>1</v>
      </c>
      <c r="G105" s="264">
        <v>1</v>
      </c>
      <c r="H105" s="358">
        <v>1</v>
      </c>
      <c r="I105" s="358"/>
      <c r="J105" s="358"/>
      <c r="K105" s="145">
        <f t="shared" ref="K105:K115" si="1">ROUND(F105*G105*H105,4)</f>
        <v>1</v>
      </c>
      <c r="M105" s="380"/>
      <c r="N105" s="380"/>
      <c r="O105" s="380"/>
      <c r="P105" s="380"/>
      <c r="Q105" s="380"/>
      <c r="R105" s="380"/>
      <c r="S105" s="380"/>
      <c r="T105" s="380"/>
    </row>
    <row r="106" spans="1:20" ht="17.25" customHeight="1" x14ac:dyDescent="0.25">
      <c r="A106" s="357" t="s">
        <v>317</v>
      </c>
      <c r="B106" s="357"/>
      <c r="C106" s="357"/>
      <c r="D106" s="357"/>
      <c r="E106" s="357"/>
      <c r="F106" s="152">
        <v>9.2200000000000004E-2</v>
      </c>
      <c r="G106" s="264">
        <v>15</v>
      </c>
      <c r="H106" s="358">
        <f>255/365</f>
        <v>0.69863013698630139</v>
      </c>
      <c r="I106" s="358"/>
      <c r="J106" s="358"/>
      <c r="K106" s="145">
        <f t="shared" si="1"/>
        <v>0.96619999999999995</v>
      </c>
      <c r="M106" s="380"/>
      <c r="N106" s="380"/>
      <c r="O106" s="380"/>
      <c r="P106" s="380"/>
      <c r="Q106" s="380"/>
      <c r="R106" s="380"/>
      <c r="S106" s="380"/>
      <c r="T106" s="380"/>
    </row>
    <row r="107" spans="1:20" ht="17.25" customHeight="1" x14ac:dyDescent="0.25">
      <c r="A107" s="357" t="s">
        <v>318</v>
      </c>
      <c r="B107" s="357"/>
      <c r="C107" s="357"/>
      <c r="D107" s="357"/>
      <c r="E107" s="357"/>
      <c r="F107" s="152">
        <v>1</v>
      </c>
      <c r="G107" s="264">
        <v>5</v>
      </c>
      <c r="H107" s="358">
        <f>255/365</f>
        <v>0.69863013698630139</v>
      </c>
      <c r="I107" s="358"/>
      <c r="J107" s="358"/>
      <c r="K107" s="145">
        <f t="shared" si="1"/>
        <v>3.4931999999999999</v>
      </c>
      <c r="M107" s="380"/>
      <c r="N107" s="380"/>
      <c r="O107" s="380"/>
      <c r="P107" s="380"/>
      <c r="Q107" s="380"/>
      <c r="R107" s="380"/>
      <c r="S107" s="380"/>
      <c r="T107" s="380"/>
    </row>
    <row r="108" spans="1:20" ht="17.25" customHeight="1" x14ac:dyDescent="0.25">
      <c r="A108" s="357" t="s">
        <v>319</v>
      </c>
      <c r="B108" s="357"/>
      <c r="C108" s="357"/>
      <c r="D108" s="357"/>
      <c r="E108" s="357"/>
      <c r="F108" s="152">
        <v>0.13439999999999999</v>
      </c>
      <c r="G108" s="264">
        <v>2</v>
      </c>
      <c r="H108" s="358">
        <v>1</v>
      </c>
      <c r="I108" s="358"/>
      <c r="J108" s="358"/>
      <c r="K108" s="145">
        <f t="shared" si="1"/>
        <v>0.26879999999999998</v>
      </c>
      <c r="M108" s="380"/>
      <c r="N108" s="380"/>
      <c r="O108" s="380"/>
      <c r="P108" s="380"/>
      <c r="Q108" s="380"/>
      <c r="R108" s="380"/>
      <c r="S108" s="380"/>
      <c r="T108" s="380"/>
    </row>
    <row r="109" spans="1:20" ht="17.25" customHeight="1" x14ac:dyDescent="0.25">
      <c r="A109" s="357" t="s">
        <v>320</v>
      </c>
      <c r="B109" s="357"/>
      <c r="C109" s="357"/>
      <c r="D109" s="357"/>
      <c r="E109" s="357"/>
      <c r="F109" s="152">
        <v>3.0499999999999999E-2</v>
      </c>
      <c r="G109" s="264">
        <v>2</v>
      </c>
      <c r="H109" s="358">
        <f>255/365</f>
        <v>0.69863013698630139</v>
      </c>
      <c r="I109" s="358"/>
      <c r="J109" s="358"/>
      <c r="K109" s="145">
        <f t="shared" si="1"/>
        <v>4.2599999999999999E-2</v>
      </c>
      <c r="M109" s="380"/>
      <c r="N109" s="380"/>
      <c r="O109" s="380"/>
      <c r="P109" s="380"/>
      <c r="Q109" s="380"/>
      <c r="R109" s="380"/>
      <c r="S109" s="380"/>
      <c r="T109" s="380"/>
    </row>
    <row r="110" spans="1:20" ht="17.25" customHeight="1" x14ac:dyDescent="0.25">
      <c r="A110" s="357" t="s">
        <v>321</v>
      </c>
      <c r="B110" s="357"/>
      <c r="C110" s="357"/>
      <c r="D110" s="357"/>
      <c r="E110" s="357"/>
      <c r="F110" s="152">
        <v>1.18E-2</v>
      </c>
      <c r="G110" s="264">
        <v>3</v>
      </c>
      <c r="H110" s="358">
        <v>1</v>
      </c>
      <c r="I110" s="358"/>
      <c r="J110" s="358"/>
      <c r="K110" s="145">
        <f t="shared" si="1"/>
        <v>3.5400000000000001E-2</v>
      </c>
      <c r="M110" s="380"/>
      <c r="N110" s="380"/>
      <c r="O110" s="380"/>
      <c r="P110" s="380"/>
      <c r="Q110" s="380"/>
      <c r="R110" s="380"/>
      <c r="S110" s="380"/>
      <c r="T110" s="380"/>
    </row>
    <row r="111" spans="1:20" ht="17.25" customHeight="1" x14ac:dyDescent="0.25">
      <c r="A111" s="357" t="s">
        <v>322</v>
      </c>
      <c r="B111" s="357"/>
      <c r="C111" s="357"/>
      <c r="D111" s="357"/>
      <c r="E111" s="357"/>
      <c r="F111" s="152">
        <v>0.02</v>
      </c>
      <c r="G111" s="264">
        <v>1</v>
      </c>
      <c r="H111" s="358">
        <v>1</v>
      </c>
      <c r="I111" s="358"/>
      <c r="J111" s="358"/>
      <c r="K111" s="145">
        <f t="shared" si="1"/>
        <v>0.02</v>
      </c>
      <c r="M111" s="380"/>
      <c r="N111" s="380"/>
      <c r="O111" s="380"/>
      <c r="P111" s="380"/>
      <c r="Q111" s="380"/>
      <c r="R111" s="380"/>
      <c r="S111" s="380"/>
      <c r="T111" s="380"/>
    </row>
    <row r="112" spans="1:20" ht="17.25" customHeight="1" x14ac:dyDescent="0.25">
      <c r="A112" s="357" t="s">
        <v>323</v>
      </c>
      <c r="B112" s="357"/>
      <c r="C112" s="357"/>
      <c r="D112" s="357"/>
      <c r="E112" s="357"/>
      <c r="F112" s="152">
        <v>4.0000000000000001E-3</v>
      </c>
      <c r="G112" s="264">
        <v>1</v>
      </c>
      <c r="H112" s="358">
        <v>1</v>
      </c>
      <c r="I112" s="358"/>
      <c r="J112" s="358"/>
      <c r="K112" s="145">
        <f t="shared" si="1"/>
        <v>4.0000000000000001E-3</v>
      </c>
      <c r="M112" s="380"/>
      <c r="N112" s="380"/>
      <c r="O112" s="380"/>
      <c r="P112" s="380"/>
      <c r="Q112" s="380"/>
      <c r="R112" s="380"/>
      <c r="S112" s="380"/>
      <c r="T112" s="380"/>
    </row>
    <row r="113" spans="1:20" ht="17.25" customHeight="1" x14ac:dyDescent="0.25">
      <c r="A113" s="357" t="s">
        <v>324</v>
      </c>
      <c r="B113" s="357"/>
      <c r="C113" s="357"/>
      <c r="D113" s="357"/>
      <c r="E113" s="357"/>
      <c r="F113" s="152">
        <v>1.43E-2</v>
      </c>
      <c r="G113" s="264">
        <v>20</v>
      </c>
      <c r="H113" s="358">
        <f>255/365</f>
        <v>0.69863013698630139</v>
      </c>
      <c r="I113" s="358"/>
      <c r="J113" s="358"/>
      <c r="K113" s="145">
        <f t="shared" si="1"/>
        <v>0.19980000000000001</v>
      </c>
      <c r="M113" s="380"/>
      <c r="N113" s="380"/>
      <c r="O113" s="380"/>
      <c r="P113" s="380"/>
      <c r="Q113" s="380"/>
      <c r="R113" s="380"/>
      <c r="S113" s="380"/>
      <c r="T113" s="380"/>
    </row>
    <row r="114" spans="1:20" ht="17.25" customHeight="1" x14ac:dyDescent="0.25">
      <c r="A114" s="357" t="s">
        <v>325</v>
      </c>
      <c r="B114" s="357"/>
      <c r="C114" s="357"/>
      <c r="D114" s="357"/>
      <c r="E114" s="357"/>
      <c r="F114" s="152">
        <v>1.9699999999999999E-2</v>
      </c>
      <c r="G114" s="264">
        <v>180</v>
      </c>
      <c r="H114" s="358">
        <f>255/365</f>
        <v>0.69863013698630139</v>
      </c>
      <c r="I114" s="358"/>
      <c r="J114" s="358"/>
      <c r="K114" s="145">
        <f t="shared" si="1"/>
        <v>2.4773000000000001</v>
      </c>
      <c r="M114" s="380"/>
      <c r="N114" s="380"/>
      <c r="O114" s="380"/>
      <c r="P114" s="380"/>
      <c r="Q114" s="380"/>
      <c r="R114" s="380"/>
      <c r="S114" s="380"/>
      <c r="T114" s="380"/>
    </row>
    <row r="115" spans="1:20" ht="17.25" customHeight="1" x14ac:dyDescent="0.25">
      <c r="A115" s="357" t="s">
        <v>326</v>
      </c>
      <c r="B115" s="357"/>
      <c r="C115" s="357"/>
      <c r="D115" s="357"/>
      <c r="E115" s="357"/>
      <c r="F115" s="152">
        <v>1.6000000000000001E-3</v>
      </c>
      <c r="G115" s="264">
        <v>6</v>
      </c>
      <c r="H115" s="358">
        <v>1</v>
      </c>
      <c r="I115" s="358"/>
      <c r="J115" s="358"/>
      <c r="K115" s="145">
        <f t="shared" si="1"/>
        <v>9.5999999999999992E-3</v>
      </c>
      <c r="M115" s="380"/>
      <c r="N115" s="380"/>
      <c r="O115" s="380"/>
      <c r="P115" s="380"/>
      <c r="Q115" s="380"/>
      <c r="R115" s="380"/>
      <c r="S115" s="380"/>
      <c r="T115" s="380"/>
    </row>
    <row r="116" spans="1:20" ht="17.25" customHeight="1" x14ac:dyDescent="0.25">
      <c r="A116" s="359" t="s">
        <v>327</v>
      </c>
      <c r="B116" s="359"/>
      <c r="C116" s="359"/>
      <c r="D116" s="359"/>
      <c r="E116" s="359"/>
      <c r="F116" s="359"/>
      <c r="G116" s="359"/>
      <c r="H116" s="359"/>
      <c r="I116" s="359"/>
      <c r="J116" s="359"/>
      <c r="K116" s="146">
        <f>ROUND(SUM(K104:K115),0)</f>
        <v>29</v>
      </c>
      <c r="M116" s="380"/>
      <c r="N116" s="380"/>
      <c r="O116" s="380"/>
      <c r="P116" s="380"/>
      <c r="Q116" s="380"/>
      <c r="R116" s="380"/>
      <c r="S116" s="380"/>
      <c r="T116" s="380"/>
    </row>
    <row r="117" spans="1:20" ht="17.25" customHeight="1" x14ac:dyDescent="0.25">
      <c r="A117" s="355" t="s">
        <v>68</v>
      </c>
      <c r="B117" s="355"/>
      <c r="C117" s="355"/>
      <c r="D117" s="355"/>
      <c r="E117" s="355"/>
      <c r="F117" s="355"/>
      <c r="G117" s="355"/>
      <c r="H117" s="355"/>
      <c r="I117" s="355"/>
      <c r="J117" s="355"/>
      <c r="K117" s="141">
        <f>K35</f>
        <v>1876.6</v>
      </c>
      <c r="M117" s="380"/>
      <c r="N117" s="380"/>
      <c r="O117" s="380"/>
      <c r="P117" s="380"/>
      <c r="Q117" s="380"/>
      <c r="R117" s="380"/>
      <c r="S117" s="380"/>
      <c r="T117" s="380"/>
    </row>
    <row r="118" spans="1:20" ht="17.25" customHeight="1" x14ac:dyDescent="0.25">
      <c r="A118" s="355" t="s">
        <v>69</v>
      </c>
      <c r="B118" s="355"/>
      <c r="C118" s="355"/>
      <c r="D118" s="355"/>
      <c r="E118" s="355"/>
      <c r="F118" s="355"/>
      <c r="G118" s="355"/>
      <c r="H118" s="355"/>
      <c r="I118" s="355"/>
      <c r="J118" s="355"/>
      <c r="K118" s="141">
        <f>K71</f>
        <v>1483.94</v>
      </c>
      <c r="M118" s="380"/>
      <c r="N118" s="380"/>
      <c r="O118" s="380"/>
      <c r="P118" s="380"/>
      <c r="Q118" s="380"/>
      <c r="R118" s="380"/>
      <c r="S118" s="380"/>
      <c r="T118" s="380"/>
    </row>
    <row r="119" spans="1:20" ht="17.25" customHeight="1" x14ac:dyDescent="0.25">
      <c r="A119" s="355" t="s">
        <v>70</v>
      </c>
      <c r="B119" s="355"/>
      <c r="C119" s="355"/>
      <c r="D119" s="355"/>
      <c r="E119" s="355"/>
      <c r="F119" s="355"/>
      <c r="G119" s="355"/>
      <c r="H119" s="355"/>
      <c r="I119" s="355"/>
      <c r="J119" s="355"/>
      <c r="K119" s="141">
        <f>K98</f>
        <v>184.85000000000002</v>
      </c>
      <c r="M119" s="380"/>
      <c r="N119" s="380"/>
      <c r="O119" s="380"/>
      <c r="P119" s="380"/>
      <c r="Q119" s="380"/>
      <c r="R119" s="380"/>
      <c r="S119" s="380"/>
      <c r="T119" s="380"/>
    </row>
    <row r="120" spans="1:20" ht="17.25" customHeight="1" x14ac:dyDescent="0.25">
      <c r="A120" s="355" t="s">
        <v>260</v>
      </c>
      <c r="B120" s="355"/>
      <c r="C120" s="355"/>
      <c r="D120" s="355"/>
      <c r="E120" s="355"/>
      <c r="F120" s="355"/>
      <c r="G120" s="355"/>
      <c r="H120" s="355"/>
      <c r="I120" s="355"/>
      <c r="J120" s="355"/>
      <c r="K120" s="141">
        <f>K117+K118+K119</f>
        <v>3545.39</v>
      </c>
      <c r="M120" s="380"/>
      <c r="N120" s="380"/>
      <c r="O120" s="380"/>
      <c r="P120" s="380"/>
      <c r="Q120" s="380"/>
      <c r="R120" s="380"/>
      <c r="S120" s="380"/>
      <c r="T120" s="380"/>
    </row>
    <row r="121" spans="1:20" ht="17.25" customHeight="1" x14ac:dyDescent="0.25">
      <c r="A121" s="355" t="s">
        <v>328</v>
      </c>
      <c r="B121" s="355"/>
      <c r="C121" s="355"/>
      <c r="D121" s="355"/>
      <c r="E121" s="355"/>
      <c r="F121" s="355"/>
      <c r="G121" s="355"/>
      <c r="H121" s="355"/>
      <c r="I121" s="355"/>
      <c r="J121" s="355"/>
      <c r="K121" s="147">
        <f>ROUND(K120/30,2)</f>
        <v>118.18</v>
      </c>
      <c r="M121" s="380"/>
      <c r="N121" s="380"/>
      <c r="O121" s="380"/>
      <c r="P121" s="380"/>
      <c r="Q121" s="380"/>
      <c r="R121" s="380"/>
      <c r="S121" s="380"/>
      <c r="T121" s="380"/>
    </row>
    <row r="122" spans="1:20" ht="17.25" customHeight="1" x14ac:dyDescent="0.25">
      <c r="A122" s="355" t="s">
        <v>329</v>
      </c>
      <c r="B122" s="355"/>
      <c r="C122" s="355"/>
      <c r="D122" s="355"/>
      <c r="E122" s="355"/>
      <c r="F122" s="355"/>
      <c r="G122" s="355"/>
      <c r="H122" s="355"/>
      <c r="I122" s="355"/>
      <c r="J122" s="355"/>
      <c r="K122" s="147">
        <f>ROUND(K121*K116,2)</f>
        <v>3427.22</v>
      </c>
      <c r="M122" s="380"/>
      <c r="N122" s="380"/>
      <c r="O122" s="380"/>
      <c r="P122" s="380"/>
      <c r="Q122" s="380"/>
      <c r="R122" s="380"/>
      <c r="S122" s="380"/>
      <c r="T122" s="380"/>
    </row>
    <row r="123" spans="1:20" ht="17.25" customHeight="1" x14ac:dyDescent="0.25">
      <c r="A123" s="355" t="s">
        <v>330</v>
      </c>
      <c r="B123" s="355"/>
      <c r="C123" s="355"/>
      <c r="D123" s="355"/>
      <c r="E123" s="355"/>
      <c r="F123" s="355"/>
      <c r="G123" s="355"/>
      <c r="H123" s="355"/>
      <c r="I123" s="355"/>
      <c r="J123" s="355"/>
      <c r="K123" s="147">
        <f>ROUND(K122/12,2)</f>
        <v>285.60000000000002</v>
      </c>
      <c r="M123" s="380"/>
      <c r="N123" s="380"/>
      <c r="O123" s="380"/>
      <c r="P123" s="380"/>
      <c r="Q123" s="380"/>
      <c r="R123" s="380"/>
      <c r="S123" s="380"/>
      <c r="T123" s="380"/>
    </row>
    <row r="124" spans="1:20" ht="17.25" customHeight="1" x14ac:dyDescent="0.25">
      <c r="A124" s="356" t="s">
        <v>49</v>
      </c>
      <c r="B124" s="356"/>
      <c r="C124" s="356"/>
      <c r="D124" s="356"/>
      <c r="E124" s="356"/>
      <c r="F124" s="356"/>
      <c r="G124" s="356"/>
      <c r="H124" s="356"/>
      <c r="I124" s="356"/>
      <c r="J124" s="356"/>
      <c r="K124" s="134">
        <f>K123</f>
        <v>285.60000000000002</v>
      </c>
      <c r="M124" s="380"/>
      <c r="N124" s="380"/>
      <c r="O124" s="380"/>
      <c r="P124" s="380"/>
      <c r="Q124" s="380"/>
      <c r="R124" s="380"/>
      <c r="S124" s="380"/>
      <c r="T124" s="380"/>
    </row>
    <row r="125" spans="1:20" s="114" customFormat="1" ht="5.25" customHeight="1" x14ac:dyDescent="0.25">
      <c r="A125" s="350"/>
      <c r="B125" s="350"/>
      <c r="C125" s="350"/>
      <c r="D125" s="350"/>
      <c r="E125" s="350"/>
      <c r="F125" s="350"/>
      <c r="G125" s="350"/>
      <c r="H125" s="350"/>
      <c r="I125" s="350"/>
      <c r="J125" s="350"/>
      <c r="K125" s="350"/>
      <c r="M125" s="111"/>
      <c r="N125" s="111"/>
      <c r="O125" s="111"/>
      <c r="P125" s="111"/>
      <c r="Q125" s="111"/>
      <c r="R125" s="111"/>
      <c r="S125" s="111"/>
      <c r="T125" s="111"/>
    </row>
    <row r="126" spans="1:20" ht="17.25" customHeight="1" x14ac:dyDescent="0.25">
      <c r="A126" s="373" t="s">
        <v>92</v>
      </c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</row>
    <row r="127" spans="1:20" ht="17.25" customHeight="1" x14ac:dyDescent="0.25">
      <c r="A127" s="381"/>
      <c r="B127" s="381"/>
      <c r="C127" s="381"/>
      <c r="D127" s="381"/>
      <c r="E127" s="381"/>
      <c r="F127" s="381"/>
      <c r="G127" s="381"/>
      <c r="H127" s="381"/>
      <c r="I127" s="381"/>
      <c r="J127" s="381"/>
      <c r="K127" s="262" t="s">
        <v>20</v>
      </c>
    </row>
    <row r="128" spans="1:20" ht="17.25" customHeight="1" x14ac:dyDescent="0.25">
      <c r="A128" s="264" t="s">
        <v>1</v>
      </c>
      <c r="B128" s="377" t="s">
        <v>93</v>
      </c>
      <c r="C128" s="377"/>
      <c r="D128" s="377"/>
      <c r="E128" s="377"/>
      <c r="F128" s="377"/>
      <c r="G128" s="377"/>
      <c r="H128" s="377"/>
      <c r="I128" s="377"/>
      <c r="J128" s="377"/>
      <c r="K128" s="261">
        <v>0</v>
      </c>
    </row>
    <row r="129" spans="1:20" ht="17.25" customHeight="1" x14ac:dyDescent="0.25">
      <c r="A129" s="356" t="s">
        <v>50</v>
      </c>
      <c r="B129" s="356"/>
      <c r="C129" s="356"/>
      <c r="D129" s="356"/>
      <c r="E129" s="356"/>
      <c r="F129" s="356"/>
      <c r="G129" s="356"/>
      <c r="H129" s="356"/>
      <c r="I129" s="356"/>
      <c r="J129" s="356"/>
      <c r="K129" s="134">
        <f>K128</f>
        <v>0</v>
      </c>
    </row>
    <row r="130" spans="1:20" ht="5.25" customHeight="1" x14ac:dyDescent="0.25">
      <c r="A130" s="376"/>
      <c r="B130" s="376"/>
      <c r="C130" s="376"/>
      <c r="D130" s="376"/>
      <c r="E130" s="376"/>
      <c r="F130" s="376"/>
      <c r="G130" s="376"/>
      <c r="H130" s="376"/>
      <c r="I130" s="376"/>
      <c r="J130" s="376"/>
      <c r="K130" s="376"/>
    </row>
    <row r="131" spans="1:20" ht="17.25" customHeight="1" x14ac:dyDescent="0.25">
      <c r="A131" s="363" t="s">
        <v>51</v>
      </c>
      <c r="B131" s="363"/>
      <c r="C131" s="363"/>
      <c r="D131" s="363"/>
      <c r="E131" s="363"/>
      <c r="F131" s="363"/>
      <c r="G131" s="363"/>
      <c r="H131" s="363"/>
      <c r="I131" s="363"/>
      <c r="J131" s="363"/>
      <c r="K131" s="132">
        <f>SUM(K124,K129)</f>
        <v>285.60000000000002</v>
      </c>
    </row>
    <row r="132" spans="1:20" ht="6.75" customHeight="1" x14ac:dyDescent="0.25">
      <c r="A132" s="362"/>
      <c r="B132" s="362"/>
      <c r="C132" s="362"/>
      <c r="D132" s="362"/>
      <c r="E132" s="362"/>
      <c r="F132" s="362"/>
      <c r="G132" s="362"/>
      <c r="H132" s="362"/>
      <c r="I132" s="362"/>
      <c r="J132" s="362"/>
      <c r="K132" s="362"/>
    </row>
    <row r="133" spans="1:20" ht="17.25" customHeight="1" x14ac:dyDescent="0.25">
      <c r="A133" s="363" t="s">
        <v>52</v>
      </c>
      <c r="B133" s="363"/>
      <c r="C133" s="363"/>
      <c r="D133" s="363"/>
      <c r="E133" s="363"/>
      <c r="F133" s="363"/>
      <c r="G133" s="363"/>
      <c r="H133" s="363"/>
      <c r="I133" s="363"/>
      <c r="J133" s="363"/>
      <c r="K133" s="363"/>
    </row>
    <row r="134" spans="1:20" ht="17.25" customHeight="1" x14ac:dyDescent="0.25">
      <c r="A134" s="264" t="s">
        <v>1</v>
      </c>
      <c r="B134" s="377" t="s">
        <v>187</v>
      </c>
      <c r="C134" s="377"/>
      <c r="D134" s="377"/>
      <c r="E134" s="377"/>
      <c r="F134" s="377"/>
      <c r="G134" s="377"/>
      <c r="H134" s="377"/>
      <c r="I134" s="377"/>
      <c r="J134" s="377"/>
      <c r="K134" s="269">
        <f>Uniformes!G10</f>
        <v>73.603333333333325</v>
      </c>
    </row>
    <row r="135" spans="1:20" ht="17.25" customHeight="1" x14ac:dyDescent="0.25">
      <c r="A135" s="264" t="s">
        <v>3</v>
      </c>
      <c r="B135" s="377" t="s">
        <v>283</v>
      </c>
      <c r="C135" s="377"/>
      <c r="D135" s="377"/>
      <c r="E135" s="377"/>
      <c r="F135" s="377"/>
      <c r="G135" s="377"/>
      <c r="H135" s="377"/>
      <c r="I135" s="377"/>
      <c r="J135" s="377"/>
      <c r="K135" s="269">
        <f>'EPI''s'!G17</f>
        <v>101.50566666666666</v>
      </c>
    </row>
    <row r="136" spans="1:20" ht="17.25" customHeight="1" x14ac:dyDescent="0.25">
      <c r="A136" s="264" t="s">
        <v>5</v>
      </c>
      <c r="B136" s="377" t="s">
        <v>288</v>
      </c>
      <c r="C136" s="377"/>
      <c r="D136" s="377"/>
      <c r="E136" s="377"/>
      <c r="F136" s="377"/>
      <c r="G136" s="377"/>
      <c r="H136" s="377"/>
      <c r="I136" s="377"/>
      <c r="J136" s="377"/>
      <c r="K136" s="269">
        <f>Insumos!H52</f>
        <v>1870.8325000000007</v>
      </c>
    </row>
    <row r="137" spans="1:20" ht="17.25" customHeight="1" x14ac:dyDescent="0.25">
      <c r="A137" s="264" t="s">
        <v>6</v>
      </c>
      <c r="B137" s="377" t="s">
        <v>289</v>
      </c>
      <c r="C137" s="377"/>
      <c r="D137" s="377"/>
      <c r="E137" s="377"/>
      <c r="F137" s="377"/>
      <c r="G137" s="377"/>
      <c r="H137" s="377"/>
      <c r="I137" s="377"/>
      <c r="J137" s="377"/>
      <c r="K137" s="269">
        <f>Ferramentas!G35</f>
        <v>124.69966666666666</v>
      </c>
    </row>
    <row r="138" spans="1:20" ht="17.25" customHeight="1" x14ac:dyDescent="0.25">
      <c r="A138" s="264" t="s">
        <v>8</v>
      </c>
      <c r="B138" s="377" t="s">
        <v>290</v>
      </c>
      <c r="C138" s="377"/>
      <c r="D138" s="377"/>
      <c r="E138" s="377"/>
      <c r="F138" s="377"/>
      <c r="G138" s="377"/>
      <c r="H138" s="377"/>
      <c r="I138" s="377"/>
      <c r="J138" s="377"/>
      <c r="K138" s="269">
        <f>Equipamentos!I29</f>
        <v>149.4</v>
      </c>
    </row>
    <row r="139" spans="1:20" ht="17.25" customHeight="1" x14ac:dyDescent="0.25">
      <c r="A139" s="264" t="s">
        <v>10</v>
      </c>
      <c r="B139" s="394" t="s">
        <v>22</v>
      </c>
      <c r="C139" s="394"/>
      <c r="D139" s="394"/>
      <c r="E139" s="394"/>
      <c r="F139" s="394"/>
      <c r="G139" s="394"/>
      <c r="H139" s="394"/>
      <c r="I139" s="394"/>
      <c r="J139" s="394"/>
      <c r="K139" s="269"/>
      <c r="M139" s="126">
        <f>K136</f>
        <v>1870.8325000000007</v>
      </c>
      <c r="N139" s="126">
        <f>K166-K165</f>
        <v>6151.0300000000007</v>
      </c>
      <c r="O139" s="127">
        <f>M139/N139</f>
        <v>0.30414946765013345</v>
      </c>
      <c r="P139" s="127">
        <f>O139*100</f>
        <v>30.414946765013344</v>
      </c>
    </row>
    <row r="140" spans="1:20" ht="17.25" customHeight="1" x14ac:dyDescent="0.25">
      <c r="A140" s="363" t="s">
        <v>53</v>
      </c>
      <c r="B140" s="363"/>
      <c r="C140" s="363"/>
      <c r="D140" s="363"/>
      <c r="E140" s="363"/>
      <c r="F140" s="363"/>
      <c r="G140" s="363"/>
      <c r="H140" s="363"/>
      <c r="I140" s="363"/>
      <c r="J140" s="363"/>
      <c r="K140" s="136">
        <f>SUM(K134:K139)</f>
        <v>2320.0411666666673</v>
      </c>
      <c r="M140" s="127">
        <f>K136/K140</f>
        <v>0.8063790103724453</v>
      </c>
      <c r="N140" s="127"/>
      <c r="O140" s="127"/>
      <c r="P140" s="127"/>
    </row>
    <row r="141" spans="1:20" s="116" customFormat="1" ht="17.25" customHeight="1" x14ac:dyDescent="0.25">
      <c r="A141" s="393"/>
      <c r="B141" s="393"/>
      <c r="C141" s="393"/>
      <c r="D141" s="393"/>
      <c r="E141" s="393"/>
      <c r="F141" s="393"/>
      <c r="G141" s="393"/>
      <c r="H141" s="393"/>
      <c r="I141" s="393"/>
      <c r="J141" s="393"/>
      <c r="K141" s="393"/>
      <c r="M141" s="111"/>
      <c r="N141" s="111"/>
      <c r="O141" s="111"/>
      <c r="P141" s="111"/>
      <c r="Q141" s="111"/>
      <c r="R141" s="111"/>
      <c r="S141" s="111"/>
      <c r="T141" s="111"/>
    </row>
    <row r="142" spans="1:20" ht="17.25" customHeight="1" x14ac:dyDescent="0.25">
      <c r="A142" s="363" t="s">
        <v>94</v>
      </c>
      <c r="B142" s="363"/>
      <c r="C142" s="363"/>
      <c r="D142" s="363"/>
      <c r="E142" s="363"/>
      <c r="F142" s="363"/>
      <c r="G142" s="363"/>
      <c r="H142" s="363"/>
      <c r="I142" s="363"/>
      <c r="J142" s="363"/>
      <c r="K142" s="132">
        <f>SUM(K35,K71,K98,K131,K140)</f>
        <v>6151.0311666666676</v>
      </c>
      <c r="M142" s="117"/>
    </row>
    <row r="143" spans="1:20" s="116" customFormat="1" ht="17.25" customHeight="1" x14ac:dyDescent="0.25">
      <c r="A143" s="393"/>
      <c r="B143" s="393"/>
      <c r="C143" s="393"/>
      <c r="D143" s="393"/>
      <c r="E143" s="393"/>
      <c r="F143" s="393"/>
      <c r="G143" s="393"/>
      <c r="H143" s="393"/>
      <c r="I143" s="393"/>
      <c r="J143" s="393"/>
      <c r="K143" s="393"/>
      <c r="M143" s="111"/>
      <c r="N143" s="111"/>
      <c r="O143" s="111"/>
      <c r="P143" s="111"/>
      <c r="Q143" s="111"/>
      <c r="R143" s="111"/>
      <c r="S143" s="111"/>
      <c r="T143" s="111"/>
    </row>
    <row r="144" spans="1:20" ht="6.75" customHeight="1" x14ac:dyDescent="0.25">
      <c r="A144" s="362"/>
      <c r="B144" s="362"/>
      <c r="C144" s="362"/>
      <c r="D144" s="362"/>
      <c r="E144" s="362"/>
      <c r="F144" s="362"/>
      <c r="G144" s="362"/>
      <c r="H144" s="362"/>
      <c r="I144" s="362"/>
      <c r="J144" s="362"/>
      <c r="K144" s="362"/>
    </row>
    <row r="145" spans="1:20" ht="17.25" customHeight="1" x14ac:dyDescent="0.25">
      <c r="A145" s="363" t="s">
        <v>54</v>
      </c>
      <c r="B145" s="363"/>
      <c r="C145" s="363"/>
      <c r="D145" s="363"/>
      <c r="E145" s="363"/>
      <c r="F145" s="363"/>
      <c r="G145" s="363"/>
      <c r="H145" s="363"/>
      <c r="I145" s="363"/>
      <c r="J145" s="363"/>
      <c r="K145" s="363"/>
    </row>
    <row r="146" spans="1:20" ht="17.25" customHeight="1" x14ac:dyDescent="0.25">
      <c r="A146" s="381"/>
      <c r="B146" s="381"/>
      <c r="C146" s="381"/>
      <c r="D146" s="381"/>
      <c r="E146" s="381"/>
      <c r="F146" s="381"/>
      <c r="G146" s="363" t="s">
        <v>25</v>
      </c>
      <c r="H146" s="363"/>
      <c r="I146" s="382" t="s">
        <v>55</v>
      </c>
      <c r="J146" s="382"/>
      <c r="K146" s="262" t="s">
        <v>20</v>
      </c>
    </row>
    <row r="147" spans="1:20" ht="17.25" customHeight="1" x14ac:dyDescent="0.25">
      <c r="A147" s="264" t="s">
        <v>1</v>
      </c>
      <c r="B147" s="377" t="s">
        <v>56</v>
      </c>
      <c r="C147" s="377"/>
      <c r="D147" s="377"/>
      <c r="E147" s="377"/>
      <c r="F147" s="377"/>
      <c r="G147" s="365">
        <v>0.11</v>
      </c>
      <c r="H147" s="365"/>
      <c r="I147" s="366">
        <f>K142</f>
        <v>6151.0311666666676</v>
      </c>
      <c r="J147" s="366"/>
      <c r="K147" s="261">
        <f>ROUND(I147*G147,2)</f>
        <v>676.61</v>
      </c>
      <c r="M147" s="395" t="s">
        <v>353</v>
      </c>
      <c r="N147" s="395"/>
      <c r="O147" s="395"/>
      <c r="P147" s="395"/>
      <c r="Q147" s="395"/>
      <c r="R147" s="395"/>
      <c r="S147" s="395"/>
      <c r="T147" s="395"/>
    </row>
    <row r="148" spans="1:20" ht="17.25" customHeight="1" x14ac:dyDescent="0.25">
      <c r="A148" s="264" t="s">
        <v>3</v>
      </c>
      <c r="B148" s="377" t="s">
        <v>57</v>
      </c>
      <c r="C148" s="377"/>
      <c r="D148" s="377"/>
      <c r="E148" s="377"/>
      <c r="F148" s="377"/>
      <c r="G148" s="365">
        <v>0.14000000000000001</v>
      </c>
      <c r="H148" s="365"/>
      <c r="I148" s="366">
        <f>I147+K147</f>
        <v>6827.6411666666672</v>
      </c>
      <c r="J148" s="366"/>
      <c r="K148" s="261">
        <f>ROUND(I148*G148,2)</f>
        <v>955.87</v>
      </c>
      <c r="M148" s="395" t="s">
        <v>353</v>
      </c>
      <c r="N148" s="395"/>
      <c r="O148" s="395"/>
      <c r="P148" s="395"/>
      <c r="Q148" s="395"/>
      <c r="R148" s="395"/>
      <c r="S148" s="395"/>
      <c r="T148" s="395"/>
    </row>
    <row r="149" spans="1:20" ht="17.25" customHeight="1" x14ac:dyDescent="0.25">
      <c r="A149" s="357" t="s">
        <v>5</v>
      </c>
      <c r="B149" s="357" t="s">
        <v>58</v>
      </c>
      <c r="C149" s="357"/>
      <c r="D149" s="357" t="s">
        <v>59</v>
      </c>
      <c r="E149" s="357"/>
      <c r="F149" s="264" t="s">
        <v>60</v>
      </c>
      <c r="G149" s="365">
        <v>6.4999999999999997E-3</v>
      </c>
      <c r="H149" s="365"/>
      <c r="I149" s="366">
        <f>I148+K148</f>
        <v>7783.5111666666671</v>
      </c>
      <c r="J149" s="366"/>
      <c r="K149" s="261">
        <f>ROUND(($I$149/(1-$G$156)*G149),2)</f>
        <v>55.38</v>
      </c>
      <c r="M149" s="370" t="s">
        <v>116</v>
      </c>
      <c r="N149" s="370"/>
      <c r="O149" s="370"/>
      <c r="P149" s="370"/>
      <c r="Q149" s="370"/>
      <c r="R149" s="370"/>
      <c r="S149" s="370"/>
      <c r="T149" s="370"/>
    </row>
    <row r="150" spans="1:20" ht="17.25" customHeight="1" x14ac:dyDescent="0.25">
      <c r="A150" s="357"/>
      <c r="B150" s="357"/>
      <c r="C150" s="357"/>
      <c r="D150" s="357"/>
      <c r="E150" s="357"/>
      <c r="F150" s="264" t="s">
        <v>61</v>
      </c>
      <c r="G150" s="365">
        <v>0.03</v>
      </c>
      <c r="H150" s="365"/>
      <c r="I150" s="366"/>
      <c r="J150" s="366"/>
      <c r="K150" s="261">
        <f>ROUND(($I$149/(1-$G$156)*G150),2)</f>
        <v>255.62</v>
      </c>
      <c r="M150" s="367" t="s">
        <v>117</v>
      </c>
      <c r="N150" s="368"/>
      <c r="O150" s="368"/>
      <c r="P150" s="368"/>
      <c r="Q150" s="368"/>
      <c r="R150" s="368"/>
      <c r="S150" s="368"/>
      <c r="T150" s="369"/>
    </row>
    <row r="151" spans="1:20" ht="17.25" customHeight="1" x14ac:dyDescent="0.25">
      <c r="A151" s="357"/>
      <c r="B151" s="357"/>
      <c r="C151" s="357"/>
      <c r="D151" s="357"/>
      <c r="E151" s="357"/>
      <c r="F151" s="267" t="s">
        <v>62</v>
      </c>
      <c r="G151" s="365"/>
      <c r="H151" s="365"/>
      <c r="I151" s="366"/>
      <c r="J151" s="366"/>
      <c r="K151" s="261">
        <f>ROUND(($I$149/(1-$G$156)*G151),2)</f>
        <v>0</v>
      </c>
      <c r="M151" s="367" t="s">
        <v>183</v>
      </c>
      <c r="N151" s="368"/>
      <c r="O151" s="368"/>
      <c r="P151" s="368"/>
      <c r="Q151" s="368"/>
      <c r="R151" s="368"/>
      <c r="S151" s="368"/>
      <c r="T151" s="369"/>
    </row>
    <row r="152" spans="1:20" ht="17.25" customHeight="1" x14ac:dyDescent="0.25">
      <c r="A152" s="357"/>
      <c r="B152" s="357"/>
      <c r="C152" s="357"/>
      <c r="D152" s="357" t="s">
        <v>63</v>
      </c>
      <c r="E152" s="357"/>
      <c r="F152" s="264" t="s">
        <v>64</v>
      </c>
      <c r="G152" s="383">
        <v>0.05</v>
      </c>
      <c r="H152" s="383"/>
      <c r="I152" s="366"/>
      <c r="J152" s="366"/>
      <c r="K152" s="366">
        <f>ROUND(($I$149/(1-$G$156)*G152),2)</f>
        <v>426.03</v>
      </c>
    </row>
    <row r="153" spans="1:20" ht="17.25" customHeight="1" x14ac:dyDescent="0.25">
      <c r="A153" s="357"/>
      <c r="B153" s="357"/>
      <c r="C153" s="357"/>
      <c r="D153" s="357"/>
      <c r="E153" s="357"/>
      <c r="F153" s="137" t="str">
        <f>K11</f>
        <v>São Paulo / SP</v>
      </c>
      <c r="G153" s="383"/>
      <c r="H153" s="383"/>
      <c r="I153" s="366"/>
      <c r="J153" s="366"/>
      <c r="K153" s="366"/>
    </row>
    <row r="154" spans="1:20" ht="17.25" customHeight="1" x14ac:dyDescent="0.25">
      <c r="A154" s="357"/>
      <c r="B154" s="357"/>
      <c r="C154" s="357"/>
      <c r="D154" s="357"/>
      <c r="E154" s="357"/>
      <c r="F154" s="267" t="s">
        <v>62</v>
      </c>
      <c r="G154" s="365"/>
      <c r="H154" s="365"/>
      <c r="I154" s="366"/>
      <c r="J154" s="366"/>
      <c r="K154" s="261">
        <f>ROUND(($I$149/(1-$G$156)*G154),2)</f>
        <v>0</v>
      </c>
    </row>
    <row r="155" spans="1:20" ht="17.25" customHeight="1" x14ac:dyDescent="0.25">
      <c r="A155" s="357"/>
      <c r="B155" s="357"/>
      <c r="C155" s="357"/>
      <c r="D155" s="379" t="s">
        <v>65</v>
      </c>
      <c r="E155" s="379"/>
      <c r="F155" s="267"/>
      <c r="G155" s="365"/>
      <c r="H155" s="365"/>
      <c r="I155" s="366"/>
      <c r="J155" s="366"/>
      <c r="K155" s="261">
        <f>ROUND(($I$149/(1-$G$156)*G155),2)</f>
        <v>0</v>
      </c>
    </row>
    <row r="156" spans="1:20" ht="17.25" customHeight="1" x14ac:dyDescent="0.25">
      <c r="A156" s="357"/>
      <c r="B156" s="373" t="s">
        <v>66</v>
      </c>
      <c r="C156" s="373"/>
      <c r="D156" s="373"/>
      <c r="E156" s="373"/>
      <c r="F156" s="373"/>
      <c r="G156" s="374">
        <f>SUM(G149:H155)</f>
        <v>8.6499999999999994E-2</v>
      </c>
      <c r="H156" s="374"/>
      <c r="I156" s="375"/>
      <c r="J156" s="375"/>
      <c r="K156" s="138"/>
      <c r="M156" s="118"/>
    </row>
    <row r="157" spans="1:20" ht="17.25" customHeight="1" x14ac:dyDescent="0.25">
      <c r="A157" s="363" t="s">
        <v>67</v>
      </c>
      <c r="B157" s="363"/>
      <c r="C157" s="363"/>
      <c r="D157" s="363"/>
      <c r="E157" s="363"/>
      <c r="F157" s="363"/>
      <c r="G157" s="363"/>
      <c r="H157" s="363"/>
      <c r="I157" s="378">
        <f>((1+G147)*(1+G148))/(1-G156)-1</f>
        <v>0.38522167487684755</v>
      </c>
      <c r="J157" s="378"/>
      <c r="K157" s="132">
        <f>ROUND(SUM(K147:K155),2)</f>
        <v>2369.5100000000002</v>
      </c>
    </row>
    <row r="158" spans="1:20" ht="6" customHeight="1" x14ac:dyDescent="0.25">
      <c r="A158" s="376"/>
      <c r="B158" s="376"/>
      <c r="C158" s="376"/>
      <c r="D158" s="376"/>
      <c r="E158" s="376"/>
      <c r="F158" s="376"/>
      <c r="G158" s="376"/>
      <c r="H158" s="376"/>
      <c r="I158" s="376"/>
      <c r="J158" s="376"/>
      <c r="K158" s="376"/>
    </row>
    <row r="159" spans="1:20" ht="19.5" customHeight="1" x14ac:dyDescent="0.25">
      <c r="A159" s="371" t="s">
        <v>105</v>
      </c>
      <c r="B159" s="371"/>
      <c r="C159" s="371"/>
      <c r="D159" s="371"/>
      <c r="E159" s="371"/>
      <c r="F159" s="371"/>
      <c r="G159" s="371"/>
      <c r="H159" s="371"/>
      <c r="I159" s="371"/>
      <c r="J159" s="371"/>
      <c r="K159" s="273" t="s">
        <v>20</v>
      </c>
    </row>
    <row r="160" spans="1:20" ht="17.25" customHeight="1" x14ac:dyDescent="0.25">
      <c r="A160" s="264" t="s">
        <v>1</v>
      </c>
      <c r="B160" s="377" t="s">
        <v>68</v>
      </c>
      <c r="C160" s="377"/>
      <c r="D160" s="377"/>
      <c r="E160" s="377"/>
      <c r="F160" s="377"/>
      <c r="G160" s="377"/>
      <c r="H160" s="377"/>
      <c r="I160" s="377"/>
      <c r="J160" s="377"/>
      <c r="K160" s="261">
        <f>K35</f>
        <v>1876.6</v>
      </c>
    </row>
    <row r="161" spans="1:13" ht="17.25" customHeight="1" x14ac:dyDescent="0.25">
      <c r="A161" s="264" t="s">
        <v>3</v>
      </c>
      <c r="B161" s="377" t="s">
        <v>69</v>
      </c>
      <c r="C161" s="377"/>
      <c r="D161" s="377"/>
      <c r="E161" s="377"/>
      <c r="F161" s="377"/>
      <c r="G161" s="377"/>
      <c r="H161" s="377"/>
      <c r="I161" s="377"/>
      <c r="J161" s="377"/>
      <c r="K161" s="261">
        <f>K71</f>
        <v>1483.94</v>
      </c>
    </row>
    <row r="162" spans="1:13" ht="17.25" customHeight="1" x14ac:dyDescent="0.25">
      <c r="A162" s="264" t="s">
        <v>5</v>
      </c>
      <c r="B162" s="377" t="s">
        <v>70</v>
      </c>
      <c r="C162" s="377"/>
      <c r="D162" s="377"/>
      <c r="E162" s="377"/>
      <c r="F162" s="377"/>
      <c r="G162" s="377"/>
      <c r="H162" s="377"/>
      <c r="I162" s="377"/>
      <c r="J162" s="377"/>
      <c r="K162" s="261">
        <f>K98</f>
        <v>184.85000000000002</v>
      </c>
    </row>
    <row r="163" spans="1:13" ht="17.25" customHeight="1" x14ac:dyDescent="0.25">
      <c r="A163" s="264" t="s">
        <v>6</v>
      </c>
      <c r="B163" s="377" t="s">
        <v>71</v>
      </c>
      <c r="C163" s="377"/>
      <c r="D163" s="377"/>
      <c r="E163" s="377"/>
      <c r="F163" s="377"/>
      <c r="G163" s="377"/>
      <c r="H163" s="377"/>
      <c r="I163" s="377"/>
      <c r="J163" s="377"/>
      <c r="K163" s="261">
        <f>K131</f>
        <v>285.60000000000002</v>
      </c>
    </row>
    <row r="164" spans="1:13" ht="17.25" customHeight="1" x14ac:dyDescent="0.25">
      <c r="A164" s="264" t="s">
        <v>8</v>
      </c>
      <c r="B164" s="377" t="s">
        <v>72</v>
      </c>
      <c r="C164" s="377"/>
      <c r="D164" s="377"/>
      <c r="E164" s="377"/>
      <c r="F164" s="377"/>
      <c r="G164" s="377"/>
      <c r="H164" s="377"/>
      <c r="I164" s="377"/>
      <c r="J164" s="377"/>
      <c r="K164" s="261">
        <f>K140</f>
        <v>2320.0411666666673</v>
      </c>
    </row>
    <row r="165" spans="1:13" ht="17.25" customHeight="1" x14ac:dyDescent="0.25">
      <c r="A165" s="264" t="s">
        <v>10</v>
      </c>
      <c r="B165" s="377" t="s">
        <v>73</v>
      </c>
      <c r="C165" s="377"/>
      <c r="D165" s="377"/>
      <c r="E165" s="377"/>
      <c r="F165" s="377"/>
      <c r="G165" s="377"/>
      <c r="H165" s="377"/>
      <c r="I165" s="377"/>
      <c r="J165" s="377"/>
      <c r="K165" s="261">
        <f>K157</f>
        <v>2369.5100000000002</v>
      </c>
      <c r="M165" s="127">
        <f>K136/K166</f>
        <v>0.21956736310139974</v>
      </c>
    </row>
    <row r="166" spans="1:13" ht="18" customHeight="1" x14ac:dyDescent="0.25">
      <c r="A166" s="371" t="s">
        <v>74</v>
      </c>
      <c r="B166" s="371"/>
      <c r="C166" s="371"/>
      <c r="D166" s="371"/>
      <c r="E166" s="371"/>
      <c r="F166" s="371"/>
      <c r="G166" s="371"/>
      <c r="H166" s="371"/>
      <c r="I166" s="371"/>
      <c r="J166" s="371"/>
      <c r="K166" s="139">
        <f>ROUND(SUM(K160:K165),2)</f>
        <v>8520.5400000000009</v>
      </c>
    </row>
    <row r="167" spans="1:13" ht="6" customHeight="1" x14ac:dyDescent="0.25">
      <c r="A167" s="372"/>
      <c r="B167" s="372"/>
      <c r="C167" s="372"/>
      <c r="D167" s="372"/>
      <c r="E167" s="372"/>
      <c r="F167" s="372"/>
      <c r="G167" s="372"/>
      <c r="H167" s="372"/>
      <c r="I167" s="372"/>
      <c r="J167" s="372"/>
      <c r="K167" s="372"/>
    </row>
    <row r="168" spans="1:13" ht="6" customHeight="1" x14ac:dyDescent="0.25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</row>
    <row r="169" spans="1:13" ht="6" customHeight="1" x14ac:dyDescent="0.25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</row>
    <row r="171" spans="1:13" x14ac:dyDescent="0.25">
      <c r="A171" s="364" t="s">
        <v>295</v>
      </c>
      <c r="B171" s="364"/>
      <c r="C171" s="364"/>
      <c r="D171" s="364"/>
      <c r="E171" s="364"/>
      <c r="F171" s="364"/>
      <c r="G171" s="364"/>
      <c r="H171" s="364"/>
      <c r="I171" s="364"/>
      <c r="J171" s="364"/>
      <c r="K171" s="364"/>
    </row>
  </sheetData>
  <sheetProtection algorithmName="SHA-512" hashValue="0QxN6e14V5Yur1s30amFZ5C/VVdYsBQA7fn9GqzR7FxHlhGf4/U3ekIgrwkH1+HbRccc6Bq5glzF+QFUKqi/yA==" saltValue="yEZiiC8nzujkDsOvw5FOXQ==" spinCount="100000" sheet="1" selectLockedCells="1"/>
  <mergeCells count="250">
    <mergeCell ref="M26:T26"/>
    <mergeCell ref="K63:K65"/>
    <mergeCell ref="B58:H58"/>
    <mergeCell ref="M31:T33"/>
    <mergeCell ref="I39:J39"/>
    <mergeCell ref="K31:K33"/>
    <mergeCell ref="H31:H32"/>
    <mergeCell ref="B57:H57"/>
    <mergeCell ref="B56:H56"/>
    <mergeCell ref="B50:H50"/>
    <mergeCell ref="B63:F63"/>
    <mergeCell ref="G63:J63"/>
    <mergeCell ref="I28:J28"/>
    <mergeCell ref="M40:T42"/>
    <mergeCell ref="I27:J27"/>
    <mergeCell ref="B26:G26"/>
    <mergeCell ref="A35:J35"/>
    <mergeCell ref="I56:J56"/>
    <mergeCell ref="G65:J65"/>
    <mergeCell ref="G64:J64"/>
    <mergeCell ref="B55:H55"/>
    <mergeCell ref="I55:J55"/>
    <mergeCell ref="I54:J54"/>
    <mergeCell ref="B65:D65"/>
    <mergeCell ref="D6:K6"/>
    <mergeCell ref="A39:H39"/>
    <mergeCell ref="I51:J51"/>
    <mergeCell ref="I52:J53"/>
    <mergeCell ref="B69:J69"/>
    <mergeCell ref="A73:K73"/>
    <mergeCell ref="A72:K72"/>
    <mergeCell ref="A70:J70"/>
    <mergeCell ref="B64:D64"/>
    <mergeCell ref="A61:K61"/>
    <mergeCell ref="B51:H51"/>
    <mergeCell ref="B52:F53"/>
    <mergeCell ref="B54:H54"/>
    <mergeCell ref="A62:J62"/>
    <mergeCell ref="I31:J32"/>
    <mergeCell ref="B28:G28"/>
    <mergeCell ref="A38:K38"/>
    <mergeCell ref="B34:J34"/>
    <mergeCell ref="A43:H43"/>
    <mergeCell ref="A63:A65"/>
    <mergeCell ref="B22:J22"/>
    <mergeCell ref="A71:J71"/>
    <mergeCell ref="A25:J25"/>
    <mergeCell ref="I33:J33"/>
    <mergeCell ref="A1:K1"/>
    <mergeCell ref="A2:K2"/>
    <mergeCell ref="A7:K7"/>
    <mergeCell ref="A6:C6"/>
    <mergeCell ref="B27:G27"/>
    <mergeCell ref="A3:C3"/>
    <mergeCell ref="A23:K23"/>
    <mergeCell ref="B21:J21"/>
    <mergeCell ref="B16:J16"/>
    <mergeCell ref="D3:K3"/>
    <mergeCell ref="D5:K5"/>
    <mergeCell ref="B15:J15"/>
    <mergeCell ref="B14:J14"/>
    <mergeCell ref="B18:J18"/>
    <mergeCell ref="B17:J17"/>
    <mergeCell ref="A4:C4"/>
    <mergeCell ref="A5:C5"/>
    <mergeCell ref="B12:J12"/>
    <mergeCell ref="B13:J13"/>
    <mergeCell ref="A8:K8"/>
    <mergeCell ref="A9:K9"/>
    <mergeCell ref="B10:J10"/>
    <mergeCell ref="B11:J11"/>
    <mergeCell ref="D4:K4"/>
    <mergeCell ref="A31:A33"/>
    <mergeCell ref="B31:F33"/>
    <mergeCell ref="B19:J19"/>
    <mergeCell ref="B20:J20"/>
    <mergeCell ref="B29:G29"/>
    <mergeCell ref="B30:G30"/>
    <mergeCell ref="I26:J26"/>
    <mergeCell ref="A24:K24"/>
    <mergeCell ref="I29:J29"/>
    <mergeCell ref="I30:J30"/>
    <mergeCell ref="G31:G32"/>
    <mergeCell ref="I58:J58"/>
    <mergeCell ref="I57:J57"/>
    <mergeCell ref="M61:T62"/>
    <mergeCell ref="B165:J165"/>
    <mergeCell ref="G154:H154"/>
    <mergeCell ref="B148:F148"/>
    <mergeCell ref="I148:J148"/>
    <mergeCell ref="B149:C155"/>
    <mergeCell ref="G150:H150"/>
    <mergeCell ref="A87:J87"/>
    <mergeCell ref="A88:J88"/>
    <mergeCell ref="A89:G90"/>
    <mergeCell ref="H89:J89"/>
    <mergeCell ref="H90:J90"/>
    <mergeCell ref="A91:J91"/>
    <mergeCell ref="A92:K92"/>
    <mergeCell ref="A93:J93"/>
    <mergeCell ref="A105:E105"/>
    <mergeCell ref="H105:J105"/>
    <mergeCell ref="A106:E106"/>
    <mergeCell ref="H106:J106"/>
    <mergeCell ref="A94:J94"/>
    <mergeCell ref="A95:G96"/>
    <mergeCell ref="H95:J95"/>
    <mergeCell ref="A36:K36"/>
    <mergeCell ref="A37:K37"/>
    <mergeCell ref="A74:K74"/>
    <mergeCell ref="A75:J75"/>
    <mergeCell ref="A76:J76"/>
    <mergeCell ref="A77:J77"/>
    <mergeCell ref="M147:T147"/>
    <mergeCell ref="M148:T148"/>
    <mergeCell ref="A49:H49"/>
    <mergeCell ref="I49:J49"/>
    <mergeCell ref="A48:J48"/>
    <mergeCell ref="A47:J47"/>
    <mergeCell ref="A46:J46"/>
    <mergeCell ref="K52:K53"/>
    <mergeCell ref="A52:A53"/>
    <mergeCell ref="I50:J50"/>
    <mergeCell ref="A60:K60"/>
    <mergeCell ref="A59:H59"/>
    <mergeCell ref="I59:J59"/>
    <mergeCell ref="B40:H40"/>
    <mergeCell ref="I40:J40"/>
    <mergeCell ref="B42:H42"/>
    <mergeCell ref="I42:J42"/>
    <mergeCell ref="B41:H41"/>
    <mergeCell ref="I41:J41"/>
    <mergeCell ref="I43:J43"/>
    <mergeCell ref="A44:K44"/>
    <mergeCell ref="A45:K45"/>
    <mergeCell ref="M52:T53"/>
    <mergeCell ref="G152:H153"/>
    <mergeCell ref="M150:T150"/>
    <mergeCell ref="I147:J147"/>
    <mergeCell ref="B147:F147"/>
    <mergeCell ref="A143:K143"/>
    <mergeCell ref="A141:K141"/>
    <mergeCell ref="A140:J140"/>
    <mergeCell ref="B135:J135"/>
    <mergeCell ref="B139:J139"/>
    <mergeCell ref="B134:J134"/>
    <mergeCell ref="A129:J129"/>
    <mergeCell ref="A126:K126"/>
    <mergeCell ref="B137:J137"/>
    <mergeCell ref="B138:J138"/>
    <mergeCell ref="B136:J136"/>
    <mergeCell ref="A125:K125"/>
    <mergeCell ref="A132:K132"/>
    <mergeCell ref="G146:H146"/>
    <mergeCell ref="B128:J128"/>
    <mergeCell ref="A149:A156"/>
    <mergeCell ref="D155:E155"/>
    <mergeCell ref="M73:T124"/>
    <mergeCell ref="G148:H148"/>
    <mergeCell ref="A133:K133"/>
    <mergeCell ref="A131:J131"/>
    <mergeCell ref="A130:K130"/>
    <mergeCell ref="G147:H147"/>
    <mergeCell ref="A145:K145"/>
    <mergeCell ref="A127:J127"/>
    <mergeCell ref="A146:F146"/>
    <mergeCell ref="I146:J146"/>
    <mergeCell ref="A142:J142"/>
    <mergeCell ref="A144:K144"/>
    <mergeCell ref="A78:J78"/>
    <mergeCell ref="A79:J79"/>
    <mergeCell ref="A80:J80"/>
    <mergeCell ref="A81:J81"/>
    <mergeCell ref="A82:J82"/>
    <mergeCell ref="A83:G84"/>
    <mergeCell ref="H83:J83"/>
    <mergeCell ref="H84:J84"/>
    <mergeCell ref="A85:J85"/>
    <mergeCell ref="A86:K86"/>
    <mergeCell ref="A171:K171"/>
    <mergeCell ref="G155:H155"/>
    <mergeCell ref="D149:E151"/>
    <mergeCell ref="G149:H149"/>
    <mergeCell ref="I149:J155"/>
    <mergeCell ref="D152:E154"/>
    <mergeCell ref="G151:H151"/>
    <mergeCell ref="M151:T151"/>
    <mergeCell ref="M149:T149"/>
    <mergeCell ref="K152:K153"/>
    <mergeCell ref="A166:J166"/>
    <mergeCell ref="A167:K167"/>
    <mergeCell ref="B156:F156"/>
    <mergeCell ref="G156:H156"/>
    <mergeCell ref="I156:J156"/>
    <mergeCell ref="A158:K158"/>
    <mergeCell ref="A159:J159"/>
    <mergeCell ref="B160:J160"/>
    <mergeCell ref="B161:J161"/>
    <mergeCell ref="B162:J162"/>
    <mergeCell ref="B163:J163"/>
    <mergeCell ref="A157:H157"/>
    <mergeCell ref="I157:J157"/>
    <mergeCell ref="B164:J164"/>
    <mergeCell ref="H96:J96"/>
    <mergeCell ref="A97:J97"/>
    <mergeCell ref="A98:J98"/>
    <mergeCell ref="A99:K99"/>
    <mergeCell ref="A100:K100"/>
    <mergeCell ref="A101:K101"/>
    <mergeCell ref="A118:J118"/>
    <mergeCell ref="A119:J119"/>
    <mergeCell ref="A120:J120"/>
    <mergeCell ref="A107:E107"/>
    <mergeCell ref="H107:J107"/>
    <mergeCell ref="A108:E108"/>
    <mergeCell ref="H108:J108"/>
    <mergeCell ref="A109:E109"/>
    <mergeCell ref="H109:J109"/>
    <mergeCell ref="A110:E110"/>
    <mergeCell ref="H110:J110"/>
    <mergeCell ref="A111:E111"/>
    <mergeCell ref="H111:J111"/>
    <mergeCell ref="A102:K102"/>
    <mergeCell ref="A103:E103"/>
    <mergeCell ref="H103:J103"/>
    <mergeCell ref="A104:E104"/>
    <mergeCell ref="H104:J104"/>
    <mergeCell ref="A121:J121"/>
    <mergeCell ref="A122:J122"/>
    <mergeCell ref="A123:J123"/>
    <mergeCell ref="A124:J124"/>
    <mergeCell ref="A112:E112"/>
    <mergeCell ref="H112:J112"/>
    <mergeCell ref="A113:E113"/>
    <mergeCell ref="H113:J113"/>
    <mergeCell ref="A114:E114"/>
    <mergeCell ref="H114:J114"/>
    <mergeCell ref="A115:E115"/>
    <mergeCell ref="H115:J115"/>
    <mergeCell ref="A116:J116"/>
    <mergeCell ref="A117:J117"/>
    <mergeCell ref="K67:K68"/>
    <mergeCell ref="M66:T68"/>
    <mergeCell ref="A66:A68"/>
    <mergeCell ref="B66:F66"/>
    <mergeCell ref="G66:J66"/>
    <mergeCell ref="B67:E67"/>
    <mergeCell ref="B68:E68"/>
    <mergeCell ref="H67:J67"/>
    <mergeCell ref="H68:J68"/>
  </mergeCells>
  <phoneticPr fontId="19" type="noConversion"/>
  <dataValidations disablePrompts="1" count="1">
    <dataValidation type="custom" allowBlank="1" showInputMessage="1" showErrorMessage="1" sqref="O49" xr:uid="{00000000-0002-0000-0100-000000000000}">
      <formula1>"0,5 a 1"</formula1>
    </dataValidation>
  </dataValidations>
  <pageMargins left="0.51181102362204722" right="0.51181102362204722" top="0.78740157480314965" bottom="0.78740157480314965" header="0.31496062992125984" footer="0.31496062992125984"/>
  <pageSetup paperSize="9" scale="41" firstPageNumber="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64"/>
  <sheetViews>
    <sheetView showGridLines="0" showZeros="0" zoomScaleNormal="100" zoomScaleSheetLayoutView="100" zoomScalePageLayoutView="60" workbookViewId="0">
      <selection activeCell="K17" sqref="K17"/>
    </sheetView>
  </sheetViews>
  <sheetFormatPr defaultColWidth="8.7109375" defaultRowHeight="15" x14ac:dyDescent="0.25"/>
  <cols>
    <col min="1" max="1" width="7.140625" style="1" customWidth="1"/>
    <col min="2" max="2" width="6.7109375" style="1" customWidth="1"/>
    <col min="3" max="3" width="6.28515625" style="1" customWidth="1"/>
    <col min="4" max="4" width="8.7109375" style="1"/>
    <col min="5" max="5" width="11.28515625" style="1" customWidth="1"/>
    <col min="6" max="6" width="19.140625" style="1" customWidth="1"/>
    <col min="7" max="8" width="10.7109375" style="1" customWidth="1"/>
    <col min="9" max="9" width="8.7109375" style="1"/>
    <col min="10" max="10" width="7" style="1" customWidth="1"/>
    <col min="11" max="11" width="41.42578125" style="3" customWidth="1"/>
    <col min="12" max="12" width="3.42578125" style="1" customWidth="1"/>
    <col min="13" max="13" width="11.140625" style="22" bestFit="1" customWidth="1"/>
    <col min="14" max="19" width="8.7109375" style="22"/>
    <col min="20" max="20" width="19.5703125" style="22" customWidth="1"/>
    <col min="21" max="16384" width="8.7109375" style="1"/>
  </cols>
  <sheetData>
    <row r="1" spans="1:12" ht="21.75" customHeight="1" x14ac:dyDescent="0.25">
      <c r="A1" s="562" t="s">
        <v>156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2" ht="6.75" customHeight="1" x14ac:dyDescent="0.25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</row>
    <row r="3" spans="1:12" ht="17.25" customHeight="1" x14ac:dyDescent="0.25">
      <c r="A3" s="557" t="s">
        <v>75</v>
      </c>
      <c r="B3" s="557"/>
      <c r="C3" s="557"/>
      <c r="D3" s="558" t="s">
        <v>157</v>
      </c>
      <c r="E3" s="559"/>
      <c r="F3" s="559"/>
      <c r="G3" s="559"/>
      <c r="H3" s="559"/>
      <c r="I3" s="559"/>
      <c r="J3" s="559"/>
      <c r="K3" s="560"/>
    </row>
    <row r="4" spans="1:12" ht="17.25" customHeight="1" x14ac:dyDescent="0.25">
      <c r="A4" s="557" t="s">
        <v>95</v>
      </c>
      <c r="B4" s="557"/>
      <c r="C4" s="557"/>
      <c r="D4" s="558" t="s">
        <v>158</v>
      </c>
      <c r="E4" s="559"/>
      <c r="F4" s="559"/>
      <c r="G4" s="559"/>
      <c r="H4" s="559"/>
      <c r="I4" s="559"/>
      <c r="J4" s="559"/>
      <c r="K4" s="560"/>
    </row>
    <row r="5" spans="1:12" ht="17.25" customHeight="1" x14ac:dyDescent="0.25">
      <c r="A5" s="557" t="s">
        <v>96</v>
      </c>
      <c r="B5" s="557"/>
      <c r="C5" s="557"/>
      <c r="D5" s="558" t="s">
        <v>97</v>
      </c>
      <c r="E5" s="559"/>
      <c r="F5" s="559"/>
      <c r="G5" s="559"/>
      <c r="H5" s="559"/>
      <c r="I5" s="559"/>
      <c r="J5" s="559"/>
      <c r="K5" s="560"/>
    </row>
    <row r="6" spans="1:12" ht="17.25" customHeight="1" x14ac:dyDescent="0.25">
      <c r="A6" s="557" t="s">
        <v>159</v>
      </c>
      <c r="B6" s="557"/>
      <c r="C6" s="557"/>
      <c r="D6" s="558" t="s">
        <v>212</v>
      </c>
      <c r="E6" s="559"/>
      <c r="F6" s="559"/>
      <c r="G6" s="559"/>
      <c r="H6" s="559"/>
      <c r="I6" s="559"/>
      <c r="J6" s="559"/>
      <c r="K6" s="560"/>
    </row>
    <row r="7" spans="1:12" ht="6.75" customHeight="1" x14ac:dyDescent="0.25">
      <c r="A7" s="561"/>
      <c r="B7" s="561"/>
      <c r="C7" s="561"/>
      <c r="D7" s="561"/>
      <c r="E7" s="561"/>
      <c r="F7" s="561"/>
      <c r="G7" s="561"/>
      <c r="H7" s="561"/>
      <c r="I7" s="561"/>
      <c r="J7" s="561"/>
      <c r="K7" s="561"/>
    </row>
    <row r="8" spans="1:12" ht="6.75" customHeight="1" x14ac:dyDescent="0.25">
      <c r="A8" s="465"/>
      <c r="B8" s="465"/>
      <c r="C8" s="465"/>
      <c r="D8" s="465"/>
      <c r="E8" s="465"/>
      <c r="F8" s="465"/>
      <c r="G8" s="465"/>
      <c r="H8" s="465"/>
      <c r="I8" s="465"/>
      <c r="J8" s="465"/>
      <c r="K8" s="465"/>
    </row>
    <row r="9" spans="1:12" ht="17.25" customHeight="1" x14ac:dyDescent="0.25">
      <c r="A9" s="446" t="s">
        <v>0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</row>
    <row r="10" spans="1:12" ht="17.25" customHeight="1" x14ac:dyDescent="0.25">
      <c r="A10" s="32" t="s">
        <v>1</v>
      </c>
      <c r="B10" s="443" t="s">
        <v>2</v>
      </c>
      <c r="C10" s="443"/>
      <c r="D10" s="443"/>
      <c r="E10" s="443"/>
      <c r="F10" s="443"/>
      <c r="G10" s="443"/>
      <c r="H10" s="443"/>
      <c r="I10" s="443"/>
      <c r="J10" s="443"/>
      <c r="K10" s="7"/>
    </row>
    <row r="11" spans="1:12" ht="16.5" customHeight="1" x14ac:dyDescent="0.25">
      <c r="A11" s="32" t="s">
        <v>3</v>
      </c>
      <c r="B11" s="443" t="s">
        <v>4</v>
      </c>
      <c r="C11" s="443"/>
      <c r="D11" s="443"/>
      <c r="E11" s="443"/>
      <c r="F11" s="443"/>
      <c r="G11" s="443"/>
      <c r="H11" s="443"/>
      <c r="I11" s="443"/>
      <c r="J11" s="443"/>
      <c r="K11" s="44" t="s">
        <v>213</v>
      </c>
    </row>
    <row r="12" spans="1:12" x14ac:dyDescent="0.25">
      <c r="A12" s="32" t="s">
        <v>5</v>
      </c>
      <c r="B12" s="443" t="s">
        <v>120</v>
      </c>
      <c r="C12" s="443"/>
      <c r="D12" s="443"/>
      <c r="E12" s="443"/>
      <c r="F12" s="443"/>
      <c r="G12" s="443"/>
      <c r="H12" s="443"/>
      <c r="I12" s="443"/>
      <c r="J12" s="443"/>
      <c r="K12" s="45" t="s">
        <v>219</v>
      </c>
    </row>
    <row r="13" spans="1:12" ht="16.5" customHeight="1" x14ac:dyDescent="0.25">
      <c r="A13" s="32" t="s">
        <v>6</v>
      </c>
      <c r="B13" s="485" t="s">
        <v>77</v>
      </c>
      <c r="C13" s="485"/>
      <c r="D13" s="485"/>
      <c r="E13" s="485"/>
      <c r="F13" s="485"/>
      <c r="G13" s="485"/>
      <c r="H13" s="485"/>
      <c r="I13" s="485"/>
      <c r="J13" s="485"/>
      <c r="K13" s="44" t="s">
        <v>160</v>
      </c>
    </row>
    <row r="14" spans="1:12" ht="16.5" customHeight="1" x14ac:dyDescent="0.25">
      <c r="A14" s="32" t="s">
        <v>8</v>
      </c>
      <c r="B14" s="485" t="s">
        <v>127</v>
      </c>
      <c r="C14" s="485"/>
      <c r="D14" s="485"/>
      <c r="E14" s="485"/>
      <c r="F14" s="485"/>
      <c r="G14" s="485"/>
      <c r="H14" s="485"/>
      <c r="I14" s="485"/>
      <c r="J14" s="485"/>
      <c r="K14" s="40" t="s">
        <v>222</v>
      </c>
    </row>
    <row r="15" spans="1:12" ht="16.5" customHeight="1" x14ac:dyDescent="0.25">
      <c r="A15" s="32" t="s">
        <v>10</v>
      </c>
      <c r="B15" s="485" t="s">
        <v>7</v>
      </c>
      <c r="C15" s="485"/>
      <c r="D15" s="485"/>
      <c r="E15" s="485"/>
      <c r="F15" s="485"/>
      <c r="G15" s="485"/>
      <c r="H15" s="485"/>
      <c r="I15" s="485"/>
      <c r="J15" s="485"/>
      <c r="K15" s="44" t="s">
        <v>161</v>
      </c>
    </row>
    <row r="16" spans="1:12" ht="16.5" customHeight="1" x14ac:dyDescent="0.25">
      <c r="A16" s="32" t="s">
        <v>11</v>
      </c>
      <c r="B16" s="485" t="s">
        <v>9</v>
      </c>
      <c r="C16" s="485"/>
      <c r="D16" s="485"/>
      <c r="E16" s="485"/>
      <c r="F16" s="485"/>
      <c r="G16" s="485"/>
      <c r="H16" s="485"/>
      <c r="I16" s="485"/>
      <c r="J16" s="485"/>
      <c r="K16" s="44" t="s">
        <v>246</v>
      </c>
      <c r="L16" s="4"/>
    </row>
    <row r="17" spans="1:20" ht="16.5" customHeight="1" x14ac:dyDescent="0.25">
      <c r="A17" s="32" t="s">
        <v>12</v>
      </c>
      <c r="B17" s="485" t="s">
        <v>143</v>
      </c>
      <c r="C17" s="485"/>
      <c r="D17" s="485"/>
      <c r="E17" s="485"/>
      <c r="F17" s="485"/>
      <c r="G17" s="485"/>
      <c r="H17" s="485"/>
      <c r="I17" s="485"/>
      <c r="J17" s="485"/>
      <c r="K17" s="44">
        <v>1039</v>
      </c>
      <c r="L17" s="4"/>
    </row>
    <row r="18" spans="1:20" ht="16.5" customHeight="1" x14ac:dyDescent="0.25">
      <c r="A18" s="32" t="s">
        <v>14</v>
      </c>
      <c r="B18" s="485" t="s">
        <v>162</v>
      </c>
      <c r="C18" s="485"/>
      <c r="D18" s="485"/>
      <c r="E18" s="485"/>
      <c r="F18" s="485"/>
      <c r="G18" s="485"/>
      <c r="H18" s="485"/>
      <c r="I18" s="485"/>
      <c r="J18" s="485"/>
      <c r="K18" s="44">
        <v>1351.97</v>
      </c>
    </row>
    <row r="19" spans="1:20" x14ac:dyDescent="0.25">
      <c r="A19" s="32" t="s">
        <v>16</v>
      </c>
      <c r="B19" s="443" t="s">
        <v>84</v>
      </c>
      <c r="C19" s="443"/>
      <c r="D19" s="443"/>
      <c r="E19" s="443"/>
      <c r="F19" s="443"/>
      <c r="G19" s="443"/>
      <c r="H19" s="443"/>
      <c r="I19" s="443"/>
      <c r="J19" s="443"/>
      <c r="K19" s="8" t="s">
        <v>214</v>
      </c>
    </row>
    <row r="20" spans="1:20" ht="16.5" customHeight="1" x14ac:dyDescent="0.25">
      <c r="A20" s="32" t="s">
        <v>76</v>
      </c>
      <c r="B20" s="443" t="s">
        <v>13</v>
      </c>
      <c r="C20" s="443"/>
      <c r="D20" s="443"/>
      <c r="E20" s="443"/>
      <c r="F20" s="443"/>
      <c r="G20" s="443"/>
      <c r="H20" s="443"/>
      <c r="I20" s="443"/>
      <c r="J20" s="443"/>
      <c r="K20" s="19">
        <v>43466</v>
      </c>
    </row>
    <row r="21" spans="1:20" ht="17.25" customHeight="1" x14ac:dyDescent="0.25">
      <c r="A21" s="32" t="s">
        <v>78</v>
      </c>
      <c r="B21" s="443" t="s">
        <v>15</v>
      </c>
      <c r="C21" s="443"/>
      <c r="D21" s="443"/>
      <c r="E21" s="443"/>
      <c r="F21" s="443"/>
      <c r="G21" s="443"/>
      <c r="H21" s="443"/>
      <c r="I21" s="443"/>
      <c r="J21" s="443"/>
      <c r="K21" s="9" t="s">
        <v>163</v>
      </c>
    </row>
    <row r="22" spans="1:20" ht="17.25" customHeight="1" x14ac:dyDescent="0.25">
      <c r="A22" s="32" t="s">
        <v>142</v>
      </c>
      <c r="B22" s="443" t="s">
        <v>17</v>
      </c>
      <c r="C22" s="443"/>
      <c r="D22" s="443"/>
      <c r="E22" s="443"/>
      <c r="F22" s="443"/>
      <c r="G22" s="443"/>
      <c r="H22" s="443"/>
      <c r="I22" s="443"/>
      <c r="J22" s="443"/>
      <c r="K22" s="10">
        <v>12</v>
      </c>
    </row>
    <row r="23" spans="1:20" ht="6.75" customHeight="1" x14ac:dyDescent="0.25">
      <c r="A23" s="465"/>
      <c r="B23" s="465"/>
      <c r="C23" s="465"/>
      <c r="D23" s="465"/>
      <c r="E23" s="465"/>
      <c r="F23" s="465"/>
      <c r="G23" s="465"/>
      <c r="H23" s="465"/>
      <c r="I23" s="465"/>
      <c r="J23" s="465"/>
      <c r="K23" s="465"/>
    </row>
    <row r="24" spans="1:20" ht="17.25" customHeight="1" x14ac:dyDescent="0.25">
      <c r="A24" s="446" t="s">
        <v>18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</row>
    <row r="25" spans="1:20" ht="17.25" customHeight="1" x14ac:dyDescent="0.25">
      <c r="A25" s="446"/>
      <c r="B25" s="446"/>
      <c r="C25" s="446"/>
      <c r="D25" s="446"/>
      <c r="E25" s="446"/>
      <c r="F25" s="446"/>
      <c r="G25" s="446"/>
      <c r="H25" s="446"/>
      <c r="I25" s="446"/>
      <c r="J25" s="446"/>
      <c r="K25" s="42" t="s">
        <v>20</v>
      </c>
    </row>
    <row r="26" spans="1:20" ht="17.25" customHeight="1" x14ac:dyDescent="0.25">
      <c r="A26" s="32" t="s">
        <v>1</v>
      </c>
      <c r="B26" s="485" t="s">
        <v>21</v>
      </c>
      <c r="C26" s="485"/>
      <c r="D26" s="485"/>
      <c r="E26" s="485"/>
      <c r="F26" s="485"/>
      <c r="G26" s="485"/>
      <c r="H26" s="41">
        <v>220</v>
      </c>
      <c r="I26" s="452" t="s">
        <v>126</v>
      </c>
      <c r="J26" s="452"/>
      <c r="K26" s="35">
        <f>K18/220*H26</f>
        <v>1351.97</v>
      </c>
    </row>
    <row r="27" spans="1:20" ht="17.25" customHeight="1" x14ac:dyDescent="0.25">
      <c r="A27" s="32" t="s">
        <v>3</v>
      </c>
      <c r="B27" s="485" t="s">
        <v>98</v>
      </c>
      <c r="C27" s="485"/>
      <c r="D27" s="485"/>
      <c r="E27" s="485"/>
      <c r="F27" s="485"/>
      <c r="G27" s="485"/>
      <c r="H27" s="37">
        <v>0</v>
      </c>
      <c r="I27" s="452" t="s">
        <v>100</v>
      </c>
      <c r="J27" s="452"/>
      <c r="K27" s="44">
        <f>H27*K17</f>
        <v>0</v>
      </c>
      <c r="M27" s="23" t="s">
        <v>153</v>
      </c>
      <c r="N27" s="24"/>
      <c r="O27" s="24"/>
      <c r="P27" s="24"/>
      <c r="Q27" s="24"/>
      <c r="R27" s="24"/>
      <c r="S27" s="24"/>
      <c r="T27" s="25"/>
    </row>
    <row r="28" spans="1:20" ht="17.25" customHeight="1" x14ac:dyDescent="0.25">
      <c r="A28" s="32" t="s">
        <v>5</v>
      </c>
      <c r="B28" s="485" t="s">
        <v>99</v>
      </c>
      <c r="C28" s="485"/>
      <c r="D28" s="485"/>
      <c r="E28" s="485"/>
      <c r="F28" s="485"/>
      <c r="G28" s="485"/>
      <c r="H28" s="37"/>
      <c r="I28" s="452" t="s">
        <v>100</v>
      </c>
      <c r="J28" s="452"/>
      <c r="K28" s="44">
        <f>H28*K17</f>
        <v>0</v>
      </c>
      <c r="M28" s="23" t="s">
        <v>153</v>
      </c>
      <c r="N28" s="24"/>
      <c r="O28" s="24"/>
      <c r="P28" s="24"/>
      <c r="Q28" s="24"/>
      <c r="R28" s="24"/>
      <c r="S28" s="24"/>
      <c r="T28" s="25"/>
    </row>
    <row r="29" spans="1:20" ht="17.25" customHeight="1" x14ac:dyDescent="0.25">
      <c r="A29" s="32" t="s">
        <v>6</v>
      </c>
      <c r="B29" s="552" t="s">
        <v>101</v>
      </c>
      <c r="C29" s="553"/>
      <c r="D29" s="553"/>
      <c r="E29" s="553"/>
      <c r="F29" s="553"/>
      <c r="G29" s="554"/>
      <c r="H29" s="37"/>
      <c r="I29" s="452" t="s">
        <v>100</v>
      </c>
      <c r="J29" s="452"/>
      <c r="K29" s="44">
        <f>H29*K26</f>
        <v>0</v>
      </c>
    </row>
    <row r="30" spans="1:20" ht="17.25" customHeight="1" x14ac:dyDescent="0.25">
      <c r="A30" s="32" t="s">
        <v>102</v>
      </c>
      <c r="B30" s="552" t="s">
        <v>103</v>
      </c>
      <c r="C30" s="553"/>
      <c r="D30" s="553"/>
      <c r="E30" s="553"/>
      <c r="F30" s="553"/>
      <c r="G30" s="554"/>
      <c r="H30" s="37"/>
      <c r="I30" s="452" t="s">
        <v>100</v>
      </c>
      <c r="J30" s="452"/>
      <c r="K30" s="44">
        <f>H30*K26</f>
        <v>0</v>
      </c>
    </row>
    <row r="31" spans="1:20" ht="17.25" customHeight="1" x14ac:dyDescent="0.25">
      <c r="A31" s="452" t="s">
        <v>10</v>
      </c>
      <c r="B31" s="485" t="s">
        <v>140</v>
      </c>
      <c r="C31" s="485"/>
      <c r="D31" s="485"/>
      <c r="E31" s="485"/>
      <c r="F31" s="485"/>
      <c r="G31" s="555" t="s">
        <v>125</v>
      </c>
      <c r="H31" s="556" t="s">
        <v>123</v>
      </c>
      <c r="I31" s="555" t="s">
        <v>124</v>
      </c>
      <c r="J31" s="555"/>
      <c r="K31" s="499">
        <f>ROUND(I33*H33,2)</f>
        <v>0</v>
      </c>
      <c r="M31" s="455" t="s">
        <v>154</v>
      </c>
      <c r="N31" s="456"/>
      <c r="O31" s="456"/>
      <c r="P31" s="456"/>
      <c r="Q31" s="456"/>
      <c r="R31" s="456"/>
      <c r="S31" s="456"/>
      <c r="T31" s="457"/>
    </row>
    <row r="32" spans="1:20" ht="22.5" customHeight="1" x14ac:dyDescent="0.25">
      <c r="A32" s="452"/>
      <c r="B32" s="485"/>
      <c r="C32" s="485"/>
      <c r="D32" s="485"/>
      <c r="E32" s="485"/>
      <c r="F32" s="485"/>
      <c r="G32" s="555"/>
      <c r="H32" s="556"/>
      <c r="I32" s="555"/>
      <c r="J32" s="555"/>
      <c r="K32" s="499"/>
      <c r="M32" s="481"/>
      <c r="N32" s="482"/>
      <c r="O32" s="482"/>
      <c r="P32" s="482"/>
      <c r="Q32" s="482"/>
      <c r="R32" s="482"/>
      <c r="S32" s="482"/>
      <c r="T32" s="483"/>
    </row>
    <row r="33" spans="1:20" ht="17.25" customHeight="1" x14ac:dyDescent="0.25">
      <c r="A33" s="452"/>
      <c r="B33" s="485"/>
      <c r="C33" s="485"/>
      <c r="D33" s="485"/>
      <c r="E33" s="485"/>
      <c r="F33" s="485"/>
      <c r="G33" s="37"/>
      <c r="H33" s="41"/>
      <c r="I33" s="551">
        <f>(K26/H26)*(1+G33)</f>
        <v>6.1453181818181823</v>
      </c>
      <c r="J33" s="551"/>
      <c r="K33" s="499"/>
      <c r="M33" s="458"/>
      <c r="N33" s="459"/>
      <c r="O33" s="459"/>
      <c r="P33" s="459"/>
      <c r="Q33" s="459"/>
      <c r="R33" s="459"/>
      <c r="S33" s="459"/>
      <c r="T33" s="460"/>
    </row>
    <row r="34" spans="1:20" ht="17.25" customHeight="1" x14ac:dyDescent="0.25">
      <c r="A34" s="32" t="s">
        <v>11</v>
      </c>
      <c r="B34" s="468" t="s">
        <v>22</v>
      </c>
      <c r="C34" s="468"/>
      <c r="D34" s="468"/>
      <c r="E34" s="468"/>
      <c r="F34" s="468"/>
      <c r="G34" s="468"/>
      <c r="H34" s="468"/>
      <c r="I34" s="468"/>
      <c r="J34" s="468"/>
      <c r="K34" s="44"/>
    </row>
    <row r="35" spans="1:20" ht="17.25" customHeight="1" x14ac:dyDescent="0.25">
      <c r="A35" s="446" t="s">
        <v>23</v>
      </c>
      <c r="B35" s="446"/>
      <c r="C35" s="446"/>
      <c r="D35" s="446"/>
      <c r="E35" s="446"/>
      <c r="F35" s="446"/>
      <c r="G35" s="446"/>
      <c r="H35" s="446"/>
      <c r="I35" s="446"/>
      <c r="J35" s="446"/>
      <c r="K35" s="11">
        <f>ROUND(SUM(K26:K34),2)</f>
        <v>1351.97</v>
      </c>
    </row>
    <row r="36" spans="1:20" ht="6.75" customHeight="1" x14ac:dyDescent="0.25">
      <c r="A36" s="465"/>
      <c r="B36" s="465"/>
      <c r="C36" s="465"/>
      <c r="D36" s="465"/>
      <c r="E36" s="465"/>
      <c r="F36" s="465"/>
      <c r="G36" s="465"/>
      <c r="H36" s="465"/>
      <c r="I36" s="465"/>
      <c r="J36" s="465"/>
      <c r="K36" s="465"/>
    </row>
    <row r="37" spans="1:20" ht="17.25" customHeight="1" x14ac:dyDescent="0.25">
      <c r="A37" s="446" t="s">
        <v>24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</row>
    <row r="38" spans="1:20" ht="17.25" customHeight="1" x14ac:dyDescent="0.25">
      <c r="A38" s="475" t="s">
        <v>121</v>
      </c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M38" s="26"/>
    </row>
    <row r="39" spans="1:20" s="2" customFormat="1" ht="17.25" customHeight="1" x14ac:dyDescent="0.25">
      <c r="A39" s="539"/>
      <c r="B39" s="539"/>
      <c r="C39" s="539"/>
      <c r="D39" s="539"/>
      <c r="E39" s="539"/>
      <c r="F39" s="539"/>
      <c r="G39" s="539"/>
      <c r="H39" s="539"/>
      <c r="I39" s="446" t="s">
        <v>25</v>
      </c>
      <c r="J39" s="446"/>
      <c r="K39" s="42" t="s">
        <v>20</v>
      </c>
      <c r="M39" s="22"/>
      <c r="N39" s="22"/>
      <c r="O39" s="22"/>
      <c r="P39" s="22"/>
      <c r="Q39" s="22"/>
      <c r="R39" s="22"/>
      <c r="S39" s="22"/>
      <c r="T39" s="22"/>
    </row>
    <row r="40" spans="1:20" ht="17.25" customHeight="1" x14ac:dyDescent="0.25">
      <c r="A40" s="32" t="s">
        <v>1</v>
      </c>
      <c r="B40" s="443" t="s">
        <v>122</v>
      </c>
      <c r="C40" s="443"/>
      <c r="D40" s="443"/>
      <c r="E40" s="443"/>
      <c r="F40" s="443"/>
      <c r="G40" s="443"/>
      <c r="H40" s="443"/>
      <c r="I40" s="549">
        <f>ROUND(1/12,4)</f>
        <v>8.3299999999999999E-2</v>
      </c>
      <c r="J40" s="549"/>
      <c r="K40" s="36">
        <f>ROUND(I40*$K$35,2)</f>
        <v>112.62</v>
      </c>
      <c r="M40" s="540" t="s">
        <v>108</v>
      </c>
      <c r="N40" s="541"/>
      <c r="O40" s="541"/>
      <c r="P40" s="541"/>
      <c r="Q40" s="541"/>
      <c r="R40" s="541"/>
      <c r="S40" s="541"/>
      <c r="T40" s="542"/>
    </row>
    <row r="41" spans="1:20" ht="17.25" customHeight="1" x14ac:dyDescent="0.25">
      <c r="A41" s="32" t="s">
        <v>3</v>
      </c>
      <c r="B41" s="485" t="s">
        <v>26</v>
      </c>
      <c r="C41" s="485"/>
      <c r="D41" s="485"/>
      <c r="E41" s="485"/>
      <c r="F41" s="485"/>
      <c r="G41" s="485"/>
      <c r="H41" s="485"/>
      <c r="I41" s="549">
        <f>ROUND(1/3/12,4)</f>
        <v>2.7799999999999998E-2</v>
      </c>
      <c r="J41" s="549"/>
      <c r="K41" s="36">
        <f>ROUND(I41*$K$35,2)</f>
        <v>37.58</v>
      </c>
      <c r="M41" s="543"/>
      <c r="N41" s="544"/>
      <c r="O41" s="544"/>
      <c r="P41" s="544"/>
      <c r="Q41" s="544"/>
      <c r="R41" s="544"/>
      <c r="S41" s="544"/>
      <c r="T41" s="545"/>
    </row>
    <row r="42" spans="1:20" ht="17.25" customHeight="1" x14ac:dyDescent="0.25">
      <c r="A42" s="20" t="s">
        <v>5</v>
      </c>
      <c r="B42" s="550" t="s">
        <v>141</v>
      </c>
      <c r="C42" s="550"/>
      <c r="D42" s="550"/>
      <c r="E42" s="550"/>
      <c r="F42" s="550"/>
      <c r="G42" s="550"/>
      <c r="H42" s="550"/>
      <c r="I42" s="528">
        <f>ROUND(1/12,4)</f>
        <v>8.3299999999999999E-2</v>
      </c>
      <c r="J42" s="528"/>
      <c r="K42" s="35">
        <f>ROUND(I42*$K$35,2)</f>
        <v>112.62</v>
      </c>
      <c r="M42" s="546"/>
      <c r="N42" s="547"/>
      <c r="O42" s="547"/>
      <c r="P42" s="547"/>
      <c r="Q42" s="547"/>
      <c r="R42" s="547"/>
      <c r="S42" s="547"/>
      <c r="T42" s="548"/>
    </row>
    <row r="43" spans="1:20" ht="17.25" customHeight="1" x14ac:dyDescent="0.25">
      <c r="A43" s="475" t="s">
        <v>27</v>
      </c>
      <c r="B43" s="475"/>
      <c r="C43" s="475"/>
      <c r="D43" s="475"/>
      <c r="E43" s="475"/>
      <c r="F43" s="475"/>
      <c r="G43" s="475"/>
      <c r="H43" s="475"/>
      <c r="I43" s="477">
        <f>SUM(I40:J42)</f>
        <v>0.19440000000000002</v>
      </c>
      <c r="J43" s="477"/>
      <c r="K43" s="12">
        <f>ROUND(SUM(K40:K42),2)</f>
        <v>262.82</v>
      </c>
    </row>
    <row r="44" spans="1:20" ht="6.75" customHeight="1" x14ac:dyDescent="0.25">
      <c r="A44" s="445"/>
      <c r="B44" s="445"/>
      <c r="C44" s="445"/>
      <c r="D44" s="445"/>
      <c r="E44" s="445"/>
      <c r="F44" s="445"/>
      <c r="G44" s="445"/>
      <c r="H44" s="445"/>
      <c r="I44" s="445"/>
      <c r="J44" s="445"/>
      <c r="K44" s="445"/>
    </row>
    <row r="45" spans="1:20" ht="17.25" customHeight="1" x14ac:dyDescent="0.25">
      <c r="A45" s="475" t="s">
        <v>28</v>
      </c>
      <c r="B45" s="475"/>
      <c r="C45" s="475"/>
      <c r="D45" s="475"/>
      <c r="E45" s="475"/>
      <c r="F45" s="475"/>
      <c r="G45" s="475"/>
      <c r="H45" s="475"/>
      <c r="I45" s="475"/>
      <c r="J45" s="475"/>
      <c r="K45" s="475"/>
    </row>
    <row r="46" spans="1:20" ht="17.25" customHeight="1" x14ac:dyDescent="0.25">
      <c r="A46" s="537" t="s">
        <v>68</v>
      </c>
      <c r="B46" s="537"/>
      <c r="C46" s="537"/>
      <c r="D46" s="537"/>
      <c r="E46" s="537"/>
      <c r="F46" s="537"/>
      <c r="G46" s="537"/>
      <c r="H46" s="537"/>
      <c r="I46" s="537"/>
      <c r="J46" s="537"/>
      <c r="K46" s="12">
        <f>K35</f>
        <v>1351.97</v>
      </c>
    </row>
    <row r="47" spans="1:20" ht="17.25" customHeight="1" x14ac:dyDescent="0.25">
      <c r="A47" s="538" t="s">
        <v>79</v>
      </c>
      <c r="B47" s="538"/>
      <c r="C47" s="538"/>
      <c r="D47" s="538"/>
      <c r="E47" s="538"/>
      <c r="F47" s="538"/>
      <c r="G47" s="538"/>
      <c r="H47" s="538"/>
      <c r="I47" s="538"/>
      <c r="J47" s="538"/>
      <c r="K47" s="12">
        <f>K43</f>
        <v>262.82</v>
      </c>
    </row>
    <row r="48" spans="1:20" ht="17.25" customHeight="1" x14ac:dyDescent="0.25">
      <c r="A48" s="538" t="s">
        <v>80</v>
      </c>
      <c r="B48" s="538"/>
      <c r="C48" s="538"/>
      <c r="D48" s="538"/>
      <c r="E48" s="538"/>
      <c r="F48" s="538"/>
      <c r="G48" s="538"/>
      <c r="H48" s="538"/>
      <c r="I48" s="538"/>
      <c r="J48" s="538"/>
      <c r="K48" s="12">
        <f>SUM(K46:K47)</f>
        <v>1614.79</v>
      </c>
    </row>
    <row r="49" spans="1:20" s="2" customFormat="1" ht="17.25" customHeight="1" x14ac:dyDescent="0.25">
      <c r="A49" s="539"/>
      <c r="B49" s="539"/>
      <c r="C49" s="539"/>
      <c r="D49" s="539"/>
      <c r="E49" s="539"/>
      <c r="F49" s="539"/>
      <c r="G49" s="539"/>
      <c r="H49" s="539"/>
      <c r="I49" s="446" t="s">
        <v>25</v>
      </c>
      <c r="J49" s="446"/>
      <c r="K49" s="42" t="s">
        <v>20</v>
      </c>
      <c r="M49" s="71"/>
      <c r="N49" s="71"/>
      <c r="O49" s="71"/>
      <c r="P49" s="71"/>
      <c r="Q49" s="71"/>
      <c r="R49" s="71"/>
      <c r="S49" s="22"/>
      <c r="T49" s="22"/>
    </row>
    <row r="50" spans="1:20" ht="17.25" customHeight="1" x14ac:dyDescent="0.25">
      <c r="A50" s="32" t="s">
        <v>1</v>
      </c>
      <c r="B50" s="443" t="s">
        <v>144</v>
      </c>
      <c r="C50" s="443"/>
      <c r="D50" s="443"/>
      <c r="E50" s="443"/>
      <c r="F50" s="443"/>
      <c r="G50" s="443"/>
      <c r="H50" s="443"/>
      <c r="I50" s="528">
        <v>0.2</v>
      </c>
      <c r="J50" s="528"/>
      <c r="K50" s="36">
        <f>ROUND(I50*$K$48,2)</f>
        <v>322.95999999999998</v>
      </c>
    </row>
    <row r="51" spans="1:20" ht="17.25" customHeight="1" x14ac:dyDescent="0.25">
      <c r="A51" s="32" t="s">
        <v>3</v>
      </c>
      <c r="B51" s="443" t="s">
        <v>145</v>
      </c>
      <c r="C51" s="443"/>
      <c r="D51" s="443"/>
      <c r="E51" s="443"/>
      <c r="F51" s="443"/>
      <c r="G51" s="443"/>
      <c r="H51" s="443"/>
      <c r="I51" s="528">
        <v>2.5000000000000001E-2</v>
      </c>
      <c r="J51" s="528"/>
      <c r="K51" s="36">
        <f t="shared" ref="K51:K58" si="0">ROUND(I51*$K$48,2)</f>
        <v>40.369999999999997</v>
      </c>
    </row>
    <row r="52" spans="1:20" ht="17.25" customHeight="1" x14ac:dyDescent="0.25">
      <c r="A52" s="498" t="s">
        <v>5</v>
      </c>
      <c r="B52" s="535" t="s">
        <v>146</v>
      </c>
      <c r="C52" s="535"/>
      <c r="D52" s="535"/>
      <c r="E52" s="535"/>
      <c r="F52" s="535"/>
      <c r="G52" s="21" t="s">
        <v>118</v>
      </c>
      <c r="H52" s="21" t="s">
        <v>119</v>
      </c>
      <c r="I52" s="536">
        <f>(G53*H53)*100</f>
        <v>0.06</v>
      </c>
      <c r="J52" s="536"/>
      <c r="K52" s="497">
        <f t="shared" si="0"/>
        <v>96.89</v>
      </c>
      <c r="M52" s="529" t="s">
        <v>152</v>
      </c>
      <c r="N52" s="530"/>
      <c r="O52" s="530"/>
      <c r="P52" s="530"/>
      <c r="Q52" s="530"/>
      <c r="R52" s="530"/>
      <c r="S52" s="530"/>
      <c r="T52" s="531"/>
    </row>
    <row r="53" spans="1:20" ht="17.25" customHeight="1" x14ac:dyDescent="0.25">
      <c r="A53" s="498"/>
      <c r="B53" s="535"/>
      <c r="C53" s="535"/>
      <c r="D53" s="535"/>
      <c r="E53" s="535"/>
      <c r="F53" s="535"/>
      <c r="G53" s="62">
        <v>0.03</v>
      </c>
      <c r="H53" s="62">
        <v>0.02</v>
      </c>
      <c r="I53" s="536"/>
      <c r="J53" s="536"/>
      <c r="K53" s="497"/>
      <c r="M53" s="532"/>
      <c r="N53" s="533"/>
      <c r="O53" s="533"/>
      <c r="P53" s="533"/>
      <c r="Q53" s="533"/>
      <c r="R53" s="533"/>
      <c r="S53" s="533"/>
      <c r="T53" s="534"/>
    </row>
    <row r="54" spans="1:20" ht="17.25" customHeight="1" x14ac:dyDescent="0.25">
      <c r="A54" s="32" t="s">
        <v>6</v>
      </c>
      <c r="B54" s="443" t="s">
        <v>147</v>
      </c>
      <c r="C54" s="443"/>
      <c r="D54" s="443"/>
      <c r="E54" s="443"/>
      <c r="F54" s="443"/>
      <c r="G54" s="443"/>
      <c r="H54" s="443"/>
      <c r="I54" s="528">
        <v>1.4999999999999999E-2</v>
      </c>
      <c r="J54" s="528"/>
      <c r="K54" s="36">
        <f t="shared" si="0"/>
        <v>24.22</v>
      </c>
    </row>
    <row r="55" spans="1:20" ht="17.25" customHeight="1" x14ac:dyDescent="0.25">
      <c r="A55" s="32" t="s">
        <v>8</v>
      </c>
      <c r="B55" s="443" t="s">
        <v>148</v>
      </c>
      <c r="C55" s="443"/>
      <c r="D55" s="443"/>
      <c r="E55" s="443"/>
      <c r="F55" s="443"/>
      <c r="G55" s="443"/>
      <c r="H55" s="443"/>
      <c r="I55" s="528">
        <v>0.01</v>
      </c>
      <c r="J55" s="528"/>
      <c r="K55" s="36">
        <f t="shared" si="0"/>
        <v>16.149999999999999</v>
      </c>
    </row>
    <row r="56" spans="1:20" ht="17.25" customHeight="1" x14ac:dyDescent="0.25">
      <c r="A56" s="32" t="s">
        <v>10</v>
      </c>
      <c r="B56" s="443" t="s">
        <v>149</v>
      </c>
      <c r="C56" s="443"/>
      <c r="D56" s="443"/>
      <c r="E56" s="443"/>
      <c r="F56" s="443"/>
      <c r="G56" s="443"/>
      <c r="H56" s="443"/>
      <c r="I56" s="528">
        <v>6.0000000000000001E-3</v>
      </c>
      <c r="J56" s="528"/>
      <c r="K56" s="36">
        <f t="shared" si="0"/>
        <v>9.69</v>
      </c>
    </row>
    <row r="57" spans="1:20" ht="17.25" customHeight="1" x14ac:dyDescent="0.25">
      <c r="A57" s="32" t="s">
        <v>11</v>
      </c>
      <c r="B57" s="443" t="s">
        <v>150</v>
      </c>
      <c r="C57" s="443"/>
      <c r="D57" s="443"/>
      <c r="E57" s="443"/>
      <c r="F57" s="443"/>
      <c r="G57" s="443"/>
      <c r="H57" s="443"/>
      <c r="I57" s="528">
        <v>2E-3</v>
      </c>
      <c r="J57" s="528"/>
      <c r="K57" s="36">
        <f t="shared" si="0"/>
        <v>3.23</v>
      </c>
    </row>
    <row r="58" spans="1:20" ht="17.25" customHeight="1" x14ac:dyDescent="0.25">
      <c r="A58" s="32" t="s">
        <v>12</v>
      </c>
      <c r="B58" s="443" t="s">
        <v>151</v>
      </c>
      <c r="C58" s="443"/>
      <c r="D58" s="443"/>
      <c r="E58" s="443"/>
      <c r="F58" s="443"/>
      <c r="G58" s="443"/>
      <c r="H58" s="443"/>
      <c r="I58" s="528">
        <v>0.08</v>
      </c>
      <c r="J58" s="528"/>
      <c r="K58" s="36">
        <f t="shared" si="0"/>
        <v>129.18</v>
      </c>
    </row>
    <row r="59" spans="1:20" ht="17.25" customHeight="1" x14ac:dyDescent="0.25">
      <c r="A59" s="475" t="s">
        <v>29</v>
      </c>
      <c r="B59" s="475"/>
      <c r="C59" s="475"/>
      <c r="D59" s="475"/>
      <c r="E59" s="475"/>
      <c r="F59" s="475"/>
      <c r="G59" s="475"/>
      <c r="H59" s="475"/>
      <c r="I59" s="477">
        <f>SUM(I50:J58)</f>
        <v>0.39800000000000008</v>
      </c>
      <c r="J59" s="477"/>
      <c r="K59" s="12">
        <f>ROUND(SUM(K50:K58),2)</f>
        <v>642.69000000000005</v>
      </c>
    </row>
    <row r="60" spans="1:20" ht="5.25" customHeight="1" x14ac:dyDescent="0.25">
      <c r="A60" s="521"/>
      <c r="B60" s="521"/>
      <c r="C60" s="521"/>
      <c r="D60" s="521"/>
      <c r="E60" s="521"/>
      <c r="F60" s="521"/>
      <c r="G60" s="521"/>
      <c r="H60" s="521"/>
      <c r="I60" s="521"/>
      <c r="J60" s="521"/>
      <c r="K60" s="521"/>
    </row>
    <row r="61" spans="1:20" ht="17.25" customHeight="1" x14ac:dyDescent="0.25">
      <c r="A61" s="475" t="s">
        <v>30</v>
      </c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M61" s="522" t="s">
        <v>155</v>
      </c>
      <c r="N61" s="523"/>
      <c r="O61" s="523"/>
      <c r="P61" s="523"/>
      <c r="Q61" s="523"/>
      <c r="R61" s="523"/>
      <c r="S61" s="523"/>
      <c r="T61" s="524"/>
    </row>
    <row r="62" spans="1:20" ht="17.25" customHeight="1" x14ac:dyDescent="0.25">
      <c r="A62" s="466"/>
      <c r="B62" s="466"/>
      <c r="C62" s="466"/>
      <c r="D62" s="466"/>
      <c r="E62" s="466"/>
      <c r="F62" s="466"/>
      <c r="G62" s="466"/>
      <c r="H62" s="466"/>
      <c r="I62" s="466"/>
      <c r="J62" s="466"/>
      <c r="K62" s="42" t="s">
        <v>20</v>
      </c>
      <c r="M62" s="525"/>
      <c r="N62" s="526"/>
      <c r="O62" s="526"/>
      <c r="P62" s="526"/>
      <c r="Q62" s="526"/>
      <c r="R62" s="526"/>
      <c r="S62" s="526"/>
      <c r="T62" s="527"/>
    </row>
    <row r="63" spans="1:20" ht="17.25" customHeight="1" x14ac:dyDescent="0.25">
      <c r="A63" s="452" t="s">
        <v>1</v>
      </c>
      <c r="B63" s="518" t="s">
        <v>128</v>
      </c>
      <c r="C63" s="519"/>
      <c r="D63" s="519"/>
      <c r="E63" s="519"/>
      <c r="F63" s="520"/>
      <c r="G63" s="494" t="s">
        <v>215</v>
      </c>
      <c r="H63" s="495"/>
      <c r="I63" s="495"/>
      <c r="J63" s="496"/>
      <c r="K63" s="454">
        <f>ROUND((B65*E65*F65)-G65,2)</f>
        <v>75.08</v>
      </c>
    </row>
    <row r="64" spans="1:20" ht="17.25" customHeight="1" x14ac:dyDescent="0.25">
      <c r="A64" s="452"/>
      <c r="B64" s="506" t="s">
        <v>34</v>
      </c>
      <c r="C64" s="506"/>
      <c r="D64" s="506"/>
      <c r="E64" s="32" t="s">
        <v>32</v>
      </c>
      <c r="F64" s="43" t="s">
        <v>35</v>
      </c>
      <c r="G64" s="506" t="s">
        <v>139</v>
      </c>
      <c r="H64" s="506"/>
      <c r="I64" s="506"/>
      <c r="J64" s="506"/>
      <c r="K64" s="454"/>
    </row>
    <row r="65" spans="1:20" ht="17.25" customHeight="1" x14ac:dyDescent="0.25">
      <c r="A65" s="452"/>
      <c r="B65" s="461">
        <v>2</v>
      </c>
      <c r="C65" s="461"/>
      <c r="D65" s="461"/>
      <c r="E65" s="41">
        <v>22</v>
      </c>
      <c r="F65" s="44">
        <v>3.55</v>
      </c>
      <c r="G65" s="454">
        <f>0.06*K26</f>
        <v>81.118200000000002</v>
      </c>
      <c r="H65" s="454"/>
      <c r="I65" s="454"/>
      <c r="J65" s="454"/>
      <c r="K65" s="454"/>
    </row>
    <row r="66" spans="1:20" ht="17.25" customHeight="1" x14ac:dyDescent="0.25">
      <c r="A66" s="452" t="s">
        <v>3</v>
      </c>
      <c r="B66" s="491" t="s">
        <v>81</v>
      </c>
      <c r="C66" s="492"/>
      <c r="D66" s="492"/>
      <c r="E66" s="492"/>
      <c r="F66" s="493"/>
      <c r="G66" s="494" t="s">
        <v>164</v>
      </c>
      <c r="H66" s="495"/>
      <c r="I66" s="495"/>
      <c r="J66" s="496"/>
      <c r="K66" s="454">
        <f>ROUND((B68-G68)*F68,2)</f>
        <v>347.6</v>
      </c>
      <c r="M66" s="509" t="s">
        <v>132</v>
      </c>
      <c r="N66" s="510"/>
      <c r="O66" s="510"/>
      <c r="P66" s="510"/>
      <c r="Q66" s="510"/>
      <c r="R66" s="510"/>
      <c r="S66" s="510"/>
      <c r="T66" s="511"/>
    </row>
    <row r="67" spans="1:20" ht="17.25" customHeight="1" x14ac:dyDescent="0.25">
      <c r="A67" s="452"/>
      <c r="B67" s="452" t="s">
        <v>82</v>
      </c>
      <c r="C67" s="452"/>
      <c r="D67" s="452"/>
      <c r="E67" s="452"/>
      <c r="F67" s="32" t="s">
        <v>32</v>
      </c>
      <c r="G67" s="452" t="s">
        <v>131</v>
      </c>
      <c r="H67" s="452"/>
      <c r="I67" s="452"/>
      <c r="J67" s="452"/>
      <c r="K67" s="454"/>
      <c r="M67" s="512"/>
      <c r="N67" s="513"/>
      <c r="O67" s="513"/>
      <c r="P67" s="513"/>
      <c r="Q67" s="513"/>
      <c r="R67" s="513"/>
      <c r="S67" s="513"/>
      <c r="T67" s="514"/>
    </row>
    <row r="68" spans="1:20" ht="17.25" customHeight="1" x14ac:dyDescent="0.25">
      <c r="A68" s="452"/>
      <c r="B68" s="499">
        <v>15.93</v>
      </c>
      <c r="C68" s="499"/>
      <c r="D68" s="499"/>
      <c r="E68" s="499"/>
      <c r="F68" s="40">
        <f>E65</f>
        <v>22</v>
      </c>
      <c r="G68" s="497">
        <v>0.13</v>
      </c>
      <c r="H68" s="497"/>
      <c r="I68" s="497"/>
      <c r="J68" s="497"/>
      <c r="K68" s="454"/>
      <c r="M68" s="515"/>
      <c r="N68" s="516"/>
      <c r="O68" s="516"/>
      <c r="P68" s="516"/>
      <c r="Q68" s="516"/>
      <c r="R68" s="516"/>
      <c r="S68" s="516"/>
      <c r="T68" s="517"/>
    </row>
    <row r="69" spans="1:20" ht="17.25" customHeight="1" x14ac:dyDescent="0.25">
      <c r="A69" s="452" t="s">
        <v>5</v>
      </c>
      <c r="B69" s="491" t="s">
        <v>31</v>
      </c>
      <c r="C69" s="492"/>
      <c r="D69" s="492"/>
      <c r="E69" s="492"/>
      <c r="F69" s="493"/>
      <c r="G69" s="494" t="s">
        <v>164</v>
      </c>
      <c r="H69" s="495"/>
      <c r="I69" s="495"/>
      <c r="J69" s="496"/>
      <c r="K69" s="36"/>
    </row>
    <row r="70" spans="1:20" ht="17.25" customHeight="1" x14ac:dyDescent="0.25">
      <c r="A70" s="452"/>
      <c r="B70" s="452" t="s">
        <v>82</v>
      </c>
      <c r="C70" s="452"/>
      <c r="D70" s="452"/>
      <c r="E70" s="452"/>
      <c r="F70" s="452"/>
      <c r="G70" s="452" t="s">
        <v>33</v>
      </c>
      <c r="H70" s="452"/>
      <c r="I70" s="452"/>
      <c r="J70" s="452"/>
      <c r="K70" s="454">
        <f>B71</f>
        <v>110.94</v>
      </c>
    </row>
    <row r="71" spans="1:20" ht="17.25" customHeight="1" x14ac:dyDescent="0.25">
      <c r="A71" s="452"/>
      <c r="B71" s="490">
        <v>110.94</v>
      </c>
      <c r="C71" s="490"/>
      <c r="D71" s="490"/>
      <c r="E71" s="490"/>
      <c r="F71" s="490"/>
      <c r="G71" s="490">
        <v>0</v>
      </c>
      <c r="H71" s="490"/>
      <c r="I71" s="490"/>
      <c r="J71" s="490"/>
      <c r="K71" s="454"/>
    </row>
    <row r="72" spans="1:20" ht="17.25" customHeight="1" x14ac:dyDescent="0.25">
      <c r="A72" s="452" t="s">
        <v>6</v>
      </c>
      <c r="B72" s="491" t="s">
        <v>165</v>
      </c>
      <c r="C72" s="492"/>
      <c r="D72" s="492"/>
      <c r="E72" s="492"/>
      <c r="F72" s="493"/>
      <c r="G72" s="494" t="s">
        <v>164</v>
      </c>
      <c r="H72" s="495"/>
      <c r="I72" s="495"/>
      <c r="J72" s="496"/>
      <c r="K72" s="497">
        <f>B74-G74</f>
        <v>28</v>
      </c>
    </row>
    <row r="73" spans="1:20" ht="17.25" customHeight="1" x14ac:dyDescent="0.25">
      <c r="A73" s="452"/>
      <c r="B73" s="498" t="s">
        <v>166</v>
      </c>
      <c r="C73" s="498"/>
      <c r="D73" s="498"/>
      <c r="E73" s="498"/>
      <c r="F73" s="498"/>
      <c r="G73" s="452" t="s">
        <v>33</v>
      </c>
      <c r="H73" s="452"/>
      <c r="I73" s="452"/>
      <c r="J73" s="452"/>
      <c r="K73" s="497"/>
    </row>
    <row r="74" spans="1:20" ht="17.25" customHeight="1" x14ac:dyDescent="0.25">
      <c r="A74" s="452"/>
      <c r="B74" s="499">
        <v>28</v>
      </c>
      <c r="C74" s="499"/>
      <c r="D74" s="499"/>
      <c r="E74" s="499"/>
      <c r="F74" s="499"/>
      <c r="G74" s="499">
        <v>0</v>
      </c>
      <c r="H74" s="499"/>
      <c r="I74" s="499"/>
      <c r="J74" s="499"/>
      <c r="K74" s="497"/>
    </row>
    <row r="75" spans="1:20" ht="17.25" customHeight="1" x14ac:dyDescent="0.25">
      <c r="A75" s="452" t="s">
        <v>8</v>
      </c>
      <c r="B75" s="491" t="s">
        <v>129</v>
      </c>
      <c r="C75" s="492"/>
      <c r="D75" s="492"/>
      <c r="E75" s="492"/>
      <c r="F75" s="493"/>
      <c r="G75" s="494" t="s">
        <v>216</v>
      </c>
      <c r="H75" s="495"/>
      <c r="I75" s="495"/>
      <c r="J75" s="496"/>
      <c r="K75" s="497">
        <f>F77*G77</f>
        <v>0.12468</v>
      </c>
      <c r="M75" s="500" t="s">
        <v>136</v>
      </c>
      <c r="N75" s="501"/>
      <c r="O75" s="501"/>
      <c r="P75" s="501"/>
      <c r="Q75" s="501"/>
      <c r="R75" s="501"/>
      <c r="S75" s="501"/>
      <c r="T75" s="502"/>
    </row>
    <row r="76" spans="1:20" ht="17.25" customHeight="1" x14ac:dyDescent="0.25">
      <c r="A76" s="452"/>
      <c r="B76" s="498" t="s">
        <v>133</v>
      </c>
      <c r="C76" s="498"/>
      <c r="D76" s="498"/>
      <c r="E76" s="498"/>
      <c r="F76" s="34" t="s">
        <v>134</v>
      </c>
      <c r="G76" s="506" t="s">
        <v>135</v>
      </c>
      <c r="H76" s="506"/>
      <c r="I76" s="506"/>
      <c r="J76" s="506"/>
      <c r="K76" s="497"/>
      <c r="M76" s="503"/>
      <c r="N76" s="504"/>
      <c r="O76" s="504"/>
      <c r="P76" s="504"/>
      <c r="Q76" s="504"/>
      <c r="R76" s="504"/>
      <c r="S76" s="504"/>
      <c r="T76" s="505"/>
    </row>
    <row r="77" spans="1:20" ht="17.25" customHeight="1" x14ac:dyDescent="0.25">
      <c r="A77" s="452"/>
      <c r="B77" s="507">
        <f>K17</f>
        <v>1039</v>
      </c>
      <c r="C77" s="507"/>
      <c r="D77" s="507"/>
      <c r="E77" s="507"/>
      <c r="F77" s="33">
        <f>B77*0.2</f>
        <v>207.8</v>
      </c>
      <c r="G77" s="508">
        <v>5.9999999999999995E-4</v>
      </c>
      <c r="H77" s="508"/>
      <c r="I77" s="508"/>
      <c r="J77" s="508"/>
      <c r="K77" s="497"/>
      <c r="M77" s="503"/>
      <c r="N77" s="504"/>
      <c r="O77" s="504"/>
      <c r="P77" s="504"/>
      <c r="Q77" s="504"/>
      <c r="R77" s="504"/>
      <c r="S77" s="504"/>
      <c r="T77" s="505"/>
    </row>
    <row r="78" spans="1:20" ht="17.25" customHeight="1" x14ac:dyDescent="0.25">
      <c r="A78" s="452" t="s">
        <v>10</v>
      </c>
      <c r="B78" s="491" t="s">
        <v>130</v>
      </c>
      <c r="C78" s="492"/>
      <c r="D78" s="492"/>
      <c r="E78" s="492"/>
      <c r="F78" s="493"/>
      <c r="G78" s="494" t="s">
        <v>217</v>
      </c>
      <c r="H78" s="495"/>
      <c r="I78" s="495"/>
      <c r="J78" s="496"/>
      <c r="K78" s="497">
        <f>F80-G80</f>
        <v>3.3180000000000005</v>
      </c>
      <c r="M78" s="27"/>
      <c r="N78" s="27"/>
      <c r="O78" s="27"/>
      <c r="P78" s="27"/>
      <c r="Q78" s="27"/>
      <c r="R78" s="27"/>
      <c r="S78" s="27"/>
      <c r="T78" s="27"/>
    </row>
    <row r="79" spans="1:20" ht="17.25" customHeight="1" x14ac:dyDescent="0.25">
      <c r="A79" s="452"/>
      <c r="B79" s="498" t="s">
        <v>137</v>
      </c>
      <c r="C79" s="498"/>
      <c r="D79" s="498"/>
      <c r="E79" s="498"/>
      <c r="F79" s="34" t="s">
        <v>138</v>
      </c>
      <c r="G79" s="452" t="s">
        <v>33</v>
      </c>
      <c r="H79" s="452"/>
      <c r="I79" s="452"/>
      <c r="J79" s="452"/>
      <c r="K79" s="497"/>
    </row>
    <row r="80" spans="1:20" ht="17.25" customHeight="1" x14ac:dyDescent="0.25">
      <c r="A80" s="452"/>
      <c r="B80" s="499">
        <v>44.24</v>
      </c>
      <c r="C80" s="499"/>
      <c r="D80" s="499"/>
      <c r="E80" s="499"/>
      <c r="F80" s="33">
        <f>B80/12</f>
        <v>3.686666666666667</v>
      </c>
      <c r="G80" s="499">
        <f>F80*0.1</f>
        <v>0.3686666666666667</v>
      </c>
      <c r="H80" s="499"/>
      <c r="I80" s="499"/>
      <c r="J80" s="499"/>
      <c r="K80" s="497"/>
    </row>
    <row r="81" spans="1:20" ht="17.25" customHeight="1" x14ac:dyDescent="0.25">
      <c r="A81" s="452" t="s">
        <v>11</v>
      </c>
      <c r="B81" s="491" t="s">
        <v>167</v>
      </c>
      <c r="C81" s="492"/>
      <c r="D81" s="492"/>
      <c r="E81" s="492"/>
      <c r="F81" s="493"/>
      <c r="G81" s="494" t="s">
        <v>218</v>
      </c>
      <c r="H81" s="495"/>
      <c r="I81" s="495"/>
      <c r="J81" s="496"/>
      <c r="K81" s="497">
        <f>B83-G83</f>
        <v>9.74</v>
      </c>
    </row>
    <row r="82" spans="1:20" ht="17.25" customHeight="1" x14ac:dyDescent="0.25">
      <c r="A82" s="452"/>
      <c r="B82" s="498" t="s">
        <v>166</v>
      </c>
      <c r="C82" s="498"/>
      <c r="D82" s="498"/>
      <c r="E82" s="498"/>
      <c r="F82" s="498"/>
      <c r="G82" s="452" t="s">
        <v>33</v>
      </c>
      <c r="H82" s="452"/>
      <c r="I82" s="452"/>
      <c r="J82" s="452"/>
      <c r="K82" s="497"/>
    </row>
    <row r="83" spans="1:20" ht="17.25" customHeight="1" x14ac:dyDescent="0.25">
      <c r="A83" s="452"/>
      <c r="B83" s="499">
        <v>9.74</v>
      </c>
      <c r="C83" s="499"/>
      <c r="D83" s="499"/>
      <c r="E83" s="499"/>
      <c r="F83" s="499"/>
      <c r="G83" s="499">
        <v>0</v>
      </c>
      <c r="H83" s="499"/>
      <c r="I83" s="499"/>
      <c r="J83" s="499"/>
      <c r="K83" s="497"/>
    </row>
    <row r="84" spans="1:20" ht="17.25" customHeight="1" x14ac:dyDescent="0.25">
      <c r="A84" s="452" t="s">
        <v>12</v>
      </c>
      <c r="B84" s="491" t="s">
        <v>168</v>
      </c>
      <c r="C84" s="492"/>
      <c r="D84" s="492"/>
      <c r="E84" s="492"/>
      <c r="F84" s="493"/>
      <c r="G84" s="494" t="s">
        <v>218</v>
      </c>
      <c r="H84" s="495"/>
      <c r="I84" s="495"/>
      <c r="J84" s="496"/>
      <c r="K84" s="497">
        <f>B86-G86</f>
        <v>3.93</v>
      </c>
    </row>
    <row r="85" spans="1:20" ht="17.25" customHeight="1" x14ac:dyDescent="0.25">
      <c r="A85" s="452"/>
      <c r="B85" s="498" t="s">
        <v>166</v>
      </c>
      <c r="C85" s="498"/>
      <c r="D85" s="498"/>
      <c r="E85" s="498"/>
      <c r="F85" s="498"/>
      <c r="G85" s="452" t="s">
        <v>33</v>
      </c>
      <c r="H85" s="452"/>
      <c r="I85" s="452"/>
      <c r="J85" s="452"/>
      <c r="K85" s="497"/>
    </row>
    <row r="86" spans="1:20" ht="17.25" customHeight="1" x14ac:dyDescent="0.25">
      <c r="A86" s="452"/>
      <c r="B86" s="499">
        <v>3.93</v>
      </c>
      <c r="C86" s="499"/>
      <c r="D86" s="499"/>
      <c r="E86" s="499"/>
      <c r="F86" s="499"/>
      <c r="G86" s="499">
        <v>0</v>
      </c>
      <c r="H86" s="499"/>
      <c r="I86" s="499"/>
      <c r="J86" s="499"/>
      <c r="K86" s="497"/>
    </row>
    <row r="87" spans="1:20" ht="17.25" customHeight="1" x14ac:dyDescent="0.25">
      <c r="A87" s="32" t="s">
        <v>14</v>
      </c>
      <c r="B87" s="490" t="s">
        <v>83</v>
      </c>
      <c r="C87" s="490"/>
      <c r="D87" s="490"/>
      <c r="E87" s="490"/>
      <c r="F87" s="490"/>
      <c r="G87" s="490"/>
      <c r="H87" s="490"/>
      <c r="I87" s="490"/>
      <c r="J87" s="490"/>
      <c r="K87" s="44"/>
    </row>
    <row r="88" spans="1:20" ht="17.25" customHeight="1" x14ac:dyDescent="0.25">
      <c r="A88" s="475" t="s">
        <v>36</v>
      </c>
      <c r="B88" s="475"/>
      <c r="C88" s="475"/>
      <c r="D88" s="475"/>
      <c r="E88" s="475"/>
      <c r="F88" s="475"/>
      <c r="G88" s="475"/>
      <c r="H88" s="475"/>
      <c r="I88" s="475"/>
      <c r="J88" s="475"/>
      <c r="K88" s="12">
        <f>ROUND(SUM(K62:K87),2)</f>
        <v>578.73</v>
      </c>
    </row>
    <row r="89" spans="1:20" ht="17.25" customHeight="1" x14ac:dyDescent="0.25">
      <c r="A89" s="446" t="s">
        <v>37</v>
      </c>
      <c r="B89" s="446"/>
      <c r="C89" s="446"/>
      <c r="D89" s="446"/>
      <c r="E89" s="446"/>
      <c r="F89" s="446"/>
      <c r="G89" s="446"/>
      <c r="H89" s="446"/>
      <c r="I89" s="446"/>
      <c r="J89" s="446"/>
      <c r="K89" s="11">
        <f>ROUND(SUM(K88,K59,K43),2)</f>
        <v>1484.24</v>
      </c>
    </row>
    <row r="90" spans="1:20" ht="6.75" customHeight="1" x14ac:dyDescent="0.25">
      <c r="A90" s="465"/>
      <c r="B90" s="465"/>
      <c r="C90" s="465"/>
      <c r="D90" s="465"/>
      <c r="E90" s="465"/>
      <c r="F90" s="465"/>
      <c r="G90" s="465"/>
      <c r="H90" s="465"/>
      <c r="I90" s="465"/>
      <c r="J90" s="465"/>
      <c r="K90" s="465"/>
    </row>
    <row r="91" spans="1:20" ht="17.25" customHeight="1" x14ac:dyDescent="0.25">
      <c r="A91" s="446" t="s">
        <v>38</v>
      </c>
      <c r="B91" s="446"/>
      <c r="C91" s="446"/>
      <c r="D91" s="446"/>
      <c r="E91" s="446"/>
      <c r="F91" s="446"/>
      <c r="G91" s="446"/>
      <c r="H91" s="446"/>
      <c r="I91" s="446"/>
      <c r="J91" s="446"/>
      <c r="K91" s="446"/>
      <c r="M91" s="455" t="s">
        <v>109</v>
      </c>
      <c r="N91" s="456"/>
      <c r="O91" s="456"/>
      <c r="P91" s="456"/>
      <c r="Q91" s="456"/>
      <c r="R91" s="456"/>
      <c r="S91" s="456"/>
      <c r="T91" s="457"/>
    </row>
    <row r="92" spans="1:20" ht="17.25" customHeight="1" x14ac:dyDescent="0.25">
      <c r="A92" s="488" t="s">
        <v>68</v>
      </c>
      <c r="B92" s="488"/>
      <c r="C92" s="488"/>
      <c r="D92" s="488"/>
      <c r="E92" s="488"/>
      <c r="F92" s="488"/>
      <c r="G92" s="488"/>
      <c r="H92" s="488"/>
      <c r="I92" s="488"/>
      <c r="J92" s="488"/>
      <c r="K92" s="11">
        <f>K35</f>
        <v>1351.97</v>
      </c>
      <c r="M92" s="458"/>
      <c r="N92" s="459"/>
      <c r="O92" s="459"/>
      <c r="P92" s="459"/>
      <c r="Q92" s="459"/>
      <c r="R92" s="459"/>
      <c r="S92" s="459"/>
      <c r="T92" s="460"/>
    </row>
    <row r="93" spans="1:20" ht="17.25" customHeight="1" x14ac:dyDescent="0.25">
      <c r="A93" s="488" t="s">
        <v>79</v>
      </c>
      <c r="B93" s="488"/>
      <c r="C93" s="488"/>
      <c r="D93" s="488"/>
      <c r="E93" s="488"/>
      <c r="F93" s="488"/>
      <c r="G93" s="488"/>
      <c r="H93" s="488"/>
      <c r="I93" s="488"/>
      <c r="J93" s="488"/>
      <c r="K93" s="11">
        <f>K43</f>
        <v>262.82</v>
      </c>
      <c r="M93" s="455" t="s">
        <v>110</v>
      </c>
      <c r="N93" s="456"/>
      <c r="O93" s="456"/>
      <c r="P93" s="456"/>
      <c r="Q93" s="456"/>
      <c r="R93" s="456"/>
      <c r="S93" s="456"/>
      <c r="T93" s="457"/>
    </row>
    <row r="94" spans="1:20" ht="17.25" customHeight="1" x14ac:dyDescent="0.25">
      <c r="A94" s="488" t="s">
        <v>80</v>
      </c>
      <c r="B94" s="488"/>
      <c r="C94" s="488"/>
      <c r="D94" s="488"/>
      <c r="E94" s="488"/>
      <c r="F94" s="488"/>
      <c r="G94" s="488"/>
      <c r="H94" s="488"/>
      <c r="I94" s="488"/>
      <c r="J94" s="488"/>
      <c r="K94" s="11">
        <f>SUM(K92:K93)</f>
        <v>1614.79</v>
      </c>
      <c r="M94" s="458"/>
      <c r="N94" s="459"/>
      <c r="O94" s="459"/>
      <c r="P94" s="459"/>
      <c r="Q94" s="459"/>
      <c r="R94" s="459"/>
      <c r="S94" s="459"/>
      <c r="T94" s="460"/>
    </row>
    <row r="95" spans="1:20" ht="17.25" customHeight="1" x14ac:dyDescent="0.25">
      <c r="A95" s="466"/>
      <c r="B95" s="466"/>
      <c r="C95" s="466"/>
      <c r="D95" s="466"/>
      <c r="E95" s="466"/>
      <c r="F95" s="466"/>
      <c r="G95" s="466"/>
      <c r="H95" s="446" t="s">
        <v>19</v>
      </c>
      <c r="I95" s="446"/>
      <c r="J95" s="446"/>
      <c r="K95" s="42" t="s">
        <v>20</v>
      </c>
      <c r="M95" s="455" t="s">
        <v>243</v>
      </c>
      <c r="N95" s="456"/>
      <c r="O95" s="456"/>
      <c r="P95" s="456"/>
      <c r="Q95" s="456"/>
      <c r="R95" s="456"/>
      <c r="S95" s="456"/>
      <c r="T95" s="457"/>
    </row>
    <row r="96" spans="1:20" ht="17.25" customHeight="1" x14ac:dyDescent="0.25">
      <c r="A96" s="32" t="s">
        <v>1</v>
      </c>
      <c r="B96" s="485" t="s">
        <v>39</v>
      </c>
      <c r="C96" s="485"/>
      <c r="D96" s="485"/>
      <c r="E96" s="485"/>
      <c r="F96" s="485"/>
      <c r="G96" s="485"/>
      <c r="H96" s="453">
        <v>4.5999999999999999E-3</v>
      </c>
      <c r="I96" s="453"/>
      <c r="J96" s="453"/>
      <c r="K96" s="36">
        <f t="shared" ref="K96:K101" si="1">ROUND(H96*$K$94,2)</f>
        <v>7.43</v>
      </c>
      <c r="M96" s="481"/>
      <c r="N96" s="482"/>
      <c r="O96" s="482"/>
      <c r="P96" s="482"/>
      <c r="Q96" s="482"/>
      <c r="R96" s="482"/>
      <c r="S96" s="482"/>
      <c r="T96" s="483"/>
    </row>
    <row r="97" spans="1:20" ht="17.25" customHeight="1" x14ac:dyDescent="0.25">
      <c r="A97" s="32" t="s">
        <v>3</v>
      </c>
      <c r="B97" s="485" t="s">
        <v>40</v>
      </c>
      <c r="C97" s="485"/>
      <c r="D97" s="485"/>
      <c r="E97" s="485"/>
      <c r="F97" s="485"/>
      <c r="G97" s="485"/>
      <c r="H97" s="453">
        <v>2.9999999999999997E-4</v>
      </c>
      <c r="I97" s="453"/>
      <c r="J97" s="453"/>
      <c r="K97" s="36">
        <f t="shared" si="1"/>
        <v>0.48</v>
      </c>
      <c r="M97" s="481"/>
      <c r="N97" s="482"/>
      <c r="O97" s="482"/>
      <c r="P97" s="482"/>
      <c r="Q97" s="482"/>
      <c r="R97" s="482"/>
      <c r="S97" s="482"/>
      <c r="T97" s="483"/>
    </row>
    <row r="98" spans="1:20" ht="22.5" customHeight="1" x14ac:dyDescent="0.25">
      <c r="A98" s="32" t="s">
        <v>5</v>
      </c>
      <c r="B98" s="484" t="s">
        <v>106</v>
      </c>
      <c r="C98" s="484"/>
      <c r="D98" s="484"/>
      <c r="E98" s="484"/>
      <c r="F98" s="484"/>
      <c r="G98" s="484"/>
      <c r="H98" s="453">
        <v>3.44E-2</v>
      </c>
      <c r="I98" s="453"/>
      <c r="J98" s="453"/>
      <c r="K98" s="36">
        <f t="shared" si="1"/>
        <v>55.55</v>
      </c>
      <c r="M98" s="481"/>
      <c r="N98" s="482"/>
      <c r="O98" s="482"/>
      <c r="P98" s="482"/>
      <c r="Q98" s="482"/>
      <c r="R98" s="482"/>
      <c r="S98" s="482"/>
      <c r="T98" s="483"/>
    </row>
    <row r="99" spans="1:20" ht="17.25" customHeight="1" x14ac:dyDescent="0.25">
      <c r="A99" s="32" t="s">
        <v>6</v>
      </c>
      <c r="B99" s="485" t="s">
        <v>41</v>
      </c>
      <c r="C99" s="485"/>
      <c r="D99" s="485"/>
      <c r="E99" s="485"/>
      <c r="F99" s="485"/>
      <c r="G99" s="485"/>
      <c r="H99" s="453">
        <v>1.9400000000000001E-2</v>
      </c>
      <c r="I99" s="453"/>
      <c r="J99" s="453"/>
      <c r="K99" s="36">
        <f t="shared" si="1"/>
        <v>31.33</v>
      </c>
      <c r="M99" s="481"/>
      <c r="N99" s="482"/>
      <c r="O99" s="482"/>
      <c r="P99" s="482"/>
      <c r="Q99" s="482"/>
      <c r="R99" s="482"/>
      <c r="S99" s="482"/>
      <c r="T99" s="483"/>
    </row>
    <row r="100" spans="1:20" ht="17.25" customHeight="1" x14ac:dyDescent="0.25">
      <c r="A100" s="32" t="s">
        <v>8</v>
      </c>
      <c r="B100" s="485" t="s">
        <v>42</v>
      </c>
      <c r="C100" s="485"/>
      <c r="D100" s="485"/>
      <c r="E100" s="485"/>
      <c r="F100" s="485"/>
      <c r="G100" s="485"/>
      <c r="H100" s="453">
        <v>7.7212000000000018E-3</v>
      </c>
      <c r="I100" s="453"/>
      <c r="J100" s="453"/>
      <c r="K100" s="36">
        <f t="shared" si="1"/>
        <v>12.47</v>
      </c>
      <c r="M100" s="458"/>
      <c r="N100" s="459"/>
      <c r="O100" s="459"/>
      <c r="P100" s="459"/>
      <c r="Q100" s="459"/>
      <c r="R100" s="459"/>
      <c r="S100" s="459"/>
      <c r="T100" s="460"/>
    </row>
    <row r="101" spans="1:20" ht="24" customHeight="1" x14ac:dyDescent="0.25">
      <c r="A101" s="32" t="s">
        <v>10</v>
      </c>
      <c r="B101" s="484" t="s">
        <v>107</v>
      </c>
      <c r="C101" s="484"/>
      <c r="D101" s="484"/>
      <c r="E101" s="484"/>
      <c r="F101" s="484"/>
      <c r="G101" s="484"/>
      <c r="H101" s="453">
        <v>2.4707840000000005E-4</v>
      </c>
      <c r="I101" s="453"/>
      <c r="J101" s="453"/>
      <c r="K101" s="36">
        <f t="shared" si="1"/>
        <v>0.4</v>
      </c>
      <c r="M101" s="455" t="s">
        <v>111</v>
      </c>
      <c r="N101" s="456"/>
      <c r="O101" s="456"/>
      <c r="P101" s="456"/>
      <c r="Q101" s="456"/>
      <c r="R101" s="456"/>
      <c r="S101" s="456"/>
      <c r="T101" s="457"/>
    </row>
    <row r="102" spans="1:20" ht="17.25" customHeight="1" x14ac:dyDescent="0.25">
      <c r="A102" s="446" t="s">
        <v>43</v>
      </c>
      <c r="B102" s="446"/>
      <c r="C102" s="446"/>
      <c r="D102" s="446"/>
      <c r="E102" s="446"/>
      <c r="F102" s="446"/>
      <c r="G102" s="446"/>
      <c r="H102" s="489">
        <f>SUM(H96:J101)</f>
        <v>6.6668278400000003E-2</v>
      </c>
      <c r="I102" s="446"/>
      <c r="J102" s="446"/>
      <c r="K102" s="11">
        <f>ROUND(SUM(K96:K101),2)</f>
        <v>107.66</v>
      </c>
      <c r="M102" s="458"/>
      <c r="N102" s="459"/>
      <c r="O102" s="459"/>
      <c r="P102" s="459"/>
      <c r="Q102" s="459"/>
      <c r="R102" s="459"/>
      <c r="S102" s="459"/>
      <c r="T102" s="460"/>
    </row>
    <row r="103" spans="1:20" ht="6.75" customHeight="1" x14ac:dyDescent="0.25">
      <c r="A103" s="465"/>
      <c r="B103" s="465"/>
      <c r="C103" s="465"/>
      <c r="D103" s="465"/>
      <c r="E103" s="465"/>
      <c r="F103" s="465"/>
      <c r="G103" s="465"/>
      <c r="H103" s="465"/>
      <c r="I103" s="465"/>
      <c r="J103" s="465"/>
      <c r="K103" s="465"/>
      <c r="M103" s="455" t="s">
        <v>244</v>
      </c>
      <c r="N103" s="456"/>
      <c r="O103" s="456"/>
      <c r="P103" s="456"/>
      <c r="Q103" s="456"/>
      <c r="R103" s="456"/>
      <c r="S103" s="456"/>
      <c r="T103" s="457"/>
    </row>
    <row r="104" spans="1:20" ht="17.25" customHeight="1" x14ac:dyDescent="0.25">
      <c r="A104" s="446" t="s">
        <v>44</v>
      </c>
      <c r="B104" s="446"/>
      <c r="C104" s="446"/>
      <c r="D104" s="446"/>
      <c r="E104" s="446"/>
      <c r="F104" s="446"/>
      <c r="G104" s="446"/>
      <c r="H104" s="446"/>
      <c r="I104" s="446"/>
      <c r="J104" s="446"/>
      <c r="K104" s="446"/>
      <c r="M104" s="481"/>
      <c r="N104" s="482"/>
      <c r="O104" s="482"/>
      <c r="P104" s="482"/>
      <c r="Q104" s="482"/>
      <c r="R104" s="482"/>
      <c r="S104" s="482"/>
      <c r="T104" s="483"/>
    </row>
    <row r="105" spans="1:20" ht="17.25" customHeight="1" x14ac:dyDescent="0.25">
      <c r="A105" s="475" t="s">
        <v>85</v>
      </c>
      <c r="B105" s="475"/>
      <c r="C105" s="475"/>
      <c r="D105" s="475"/>
      <c r="E105" s="475"/>
      <c r="F105" s="475"/>
      <c r="G105" s="475"/>
      <c r="H105" s="475"/>
      <c r="I105" s="475"/>
      <c r="J105" s="475"/>
      <c r="K105" s="475"/>
      <c r="M105" s="481"/>
      <c r="N105" s="482"/>
      <c r="O105" s="482"/>
      <c r="P105" s="482"/>
      <c r="Q105" s="482"/>
      <c r="R105" s="482"/>
      <c r="S105" s="482"/>
      <c r="T105" s="483"/>
    </row>
    <row r="106" spans="1:20" ht="17.25" customHeight="1" x14ac:dyDescent="0.25">
      <c r="A106" s="488" t="s">
        <v>68</v>
      </c>
      <c r="B106" s="488"/>
      <c r="C106" s="488"/>
      <c r="D106" s="488"/>
      <c r="E106" s="488"/>
      <c r="F106" s="488"/>
      <c r="G106" s="488"/>
      <c r="H106" s="488"/>
      <c r="I106" s="488"/>
      <c r="J106" s="488"/>
      <c r="K106" s="11">
        <f>K35</f>
        <v>1351.97</v>
      </c>
      <c r="M106" s="481"/>
      <c r="N106" s="482"/>
      <c r="O106" s="482"/>
      <c r="P106" s="482"/>
      <c r="Q106" s="482"/>
      <c r="R106" s="482"/>
      <c r="S106" s="482"/>
      <c r="T106" s="483"/>
    </row>
    <row r="107" spans="1:20" ht="17.25" customHeight="1" x14ac:dyDescent="0.25">
      <c r="A107" s="488" t="s">
        <v>79</v>
      </c>
      <c r="B107" s="488"/>
      <c r="C107" s="488"/>
      <c r="D107" s="488"/>
      <c r="E107" s="488"/>
      <c r="F107" s="488"/>
      <c r="G107" s="488"/>
      <c r="H107" s="488"/>
      <c r="I107" s="488"/>
      <c r="J107" s="488"/>
      <c r="K107" s="11">
        <f>K43</f>
        <v>262.82</v>
      </c>
      <c r="M107" s="458"/>
      <c r="N107" s="459"/>
      <c r="O107" s="459"/>
      <c r="P107" s="459"/>
      <c r="Q107" s="459"/>
      <c r="R107" s="459"/>
      <c r="S107" s="459"/>
      <c r="T107" s="460"/>
    </row>
    <row r="108" spans="1:20" ht="17.25" customHeight="1" x14ac:dyDescent="0.25">
      <c r="A108" s="488" t="s">
        <v>80</v>
      </c>
      <c r="B108" s="488"/>
      <c r="C108" s="488"/>
      <c r="D108" s="488"/>
      <c r="E108" s="488"/>
      <c r="F108" s="488"/>
      <c r="G108" s="488"/>
      <c r="H108" s="488"/>
      <c r="I108" s="488"/>
      <c r="J108" s="488"/>
      <c r="K108" s="11">
        <f>SUM(K106:K107)</f>
        <v>1614.79</v>
      </c>
    </row>
    <row r="109" spans="1:20" ht="17.25" customHeight="1" x14ac:dyDescent="0.25">
      <c r="A109" s="466"/>
      <c r="B109" s="466"/>
      <c r="C109" s="466"/>
      <c r="D109" s="466"/>
      <c r="E109" s="466"/>
      <c r="F109" s="466"/>
      <c r="G109" s="466"/>
      <c r="H109" s="446" t="s">
        <v>19</v>
      </c>
      <c r="I109" s="446"/>
      <c r="J109" s="446"/>
      <c r="K109" s="42" t="s">
        <v>20</v>
      </c>
    </row>
    <row r="110" spans="1:20" ht="17.25" customHeight="1" x14ac:dyDescent="0.25">
      <c r="A110" s="32" t="s">
        <v>1</v>
      </c>
      <c r="B110" s="485" t="s">
        <v>86</v>
      </c>
      <c r="C110" s="485"/>
      <c r="D110" s="485"/>
      <c r="E110" s="485"/>
      <c r="F110" s="485"/>
      <c r="G110" s="485"/>
      <c r="H110" s="453">
        <v>8.3299999999999999E-2</v>
      </c>
      <c r="I110" s="453"/>
      <c r="J110" s="453"/>
      <c r="K110" s="36">
        <f>ROUND(H110*$K$108,2)</f>
        <v>134.51</v>
      </c>
    </row>
    <row r="111" spans="1:20" ht="17.25" customHeight="1" x14ac:dyDescent="0.25">
      <c r="A111" s="452" t="s">
        <v>3</v>
      </c>
      <c r="B111" s="443" t="s">
        <v>87</v>
      </c>
      <c r="C111" s="443"/>
      <c r="D111" s="443"/>
      <c r="E111" s="443"/>
      <c r="F111" s="443"/>
      <c r="G111" s="443"/>
      <c r="H111" s="443"/>
      <c r="I111" s="443"/>
      <c r="J111" s="443"/>
      <c r="K111" s="454">
        <f>ROUND(H112*K108,2)</f>
        <v>26.32</v>
      </c>
      <c r="M111" s="455" t="s">
        <v>112</v>
      </c>
      <c r="N111" s="456"/>
      <c r="O111" s="456"/>
      <c r="P111" s="456"/>
      <c r="Q111" s="456"/>
      <c r="R111" s="456"/>
      <c r="S111" s="456"/>
      <c r="T111" s="457"/>
    </row>
    <row r="112" spans="1:20" ht="17.25" customHeight="1" x14ac:dyDescent="0.25">
      <c r="A112" s="452"/>
      <c r="B112" s="38" t="s">
        <v>88</v>
      </c>
      <c r="C112" s="38"/>
      <c r="D112" s="38"/>
      <c r="E112" s="38"/>
      <c r="F112" s="486">
        <v>5.96</v>
      </c>
      <c r="G112" s="487"/>
      <c r="H112" s="453">
        <v>1.6299999999999999E-2</v>
      </c>
      <c r="I112" s="453"/>
      <c r="J112" s="453"/>
      <c r="K112" s="454"/>
      <c r="M112" s="458"/>
      <c r="N112" s="459"/>
      <c r="O112" s="459"/>
      <c r="P112" s="459"/>
      <c r="Q112" s="459"/>
      <c r="R112" s="459"/>
      <c r="S112" s="459"/>
      <c r="T112" s="460"/>
    </row>
    <row r="113" spans="1:20" ht="17.25" customHeight="1" x14ac:dyDescent="0.25">
      <c r="A113" s="452" t="s">
        <v>5</v>
      </c>
      <c r="B113" s="443" t="s">
        <v>89</v>
      </c>
      <c r="C113" s="443"/>
      <c r="D113" s="443"/>
      <c r="E113" s="443"/>
      <c r="F113" s="443"/>
      <c r="G113" s="443"/>
      <c r="H113" s="443"/>
      <c r="I113" s="443"/>
      <c r="J113" s="443"/>
      <c r="K113" s="454">
        <f>ROUND(H114*K108,2)</f>
        <v>0.24</v>
      </c>
      <c r="M113" s="455" t="s">
        <v>113</v>
      </c>
      <c r="N113" s="456"/>
      <c r="O113" s="456"/>
      <c r="P113" s="456"/>
      <c r="Q113" s="456"/>
      <c r="R113" s="456"/>
      <c r="S113" s="456"/>
      <c r="T113" s="457"/>
    </row>
    <row r="114" spans="1:20" ht="17.25" customHeight="1" x14ac:dyDescent="0.25">
      <c r="A114" s="452"/>
      <c r="B114" s="484" t="s">
        <v>45</v>
      </c>
      <c r="C114" s="484"/>
      <c r="D114" s="484"/>
      <c r="E114" s="484"/>
      <c r="F114" s="484"/>
      <c r="G114" s="484"/>
      <c r="H114" s="479">
        <v>1.4999999999999999E-4</v>
      </c>
      <c r="I114" s="479"/>
      <c r="J114" s="479"/>
      <c r="K114" s="454"/>
      <c r="M114" s="458"/>
      <c r="N114" s="459"/>
      <c r="O114" s="459"/>
      <c r="P114" s="459"/>
      <c r="Q114" s="459"/>
      <c r="R114" s="459"/>
      <c r="S114" s="459"/>
      <c r="T114" s="460"/>
    </row>
    <row r="115" spans="1:20" ht="17.25" customHeight="1" x14ac:dyDescent="0.25">
      <c r="A115" s="452" t="s">
        <v>6</v>
      </c>
      <c r="B115" s="443" t="s">
        <v>90</v>
      </c>
      <c r="C115" s="443"/>
      <c r="D115" s="443"/>
      <c r="E115" s="443"/>
      <c r="F115" s="443"/>
      <c r="G115" s="443"/>
      <c r="H115" s="443"/>
      <c r="I115" s="443"/>
      <c r="J115" s="443"/>
      <c r="K115" s="454">
        <f>ROUND(H116*K108,2)</f>
        <v>5.33</v>
      </c>
      <c r="M115" s="455" t="s">
        <v>114</v>
      </c>
      <c r="N115" s="456"/>
      <c r="O115" s="456"/>
      <c r="P115" s="456"/>
      <c r="Q115" s="456"/>
      <c r="R115" s="456"/>
      <c r="S115" s="456"/>
      <c r="T115" s="457"/>
    </row>
    <row r="116" spans="1:20" ht="15" customHeight="1" x14ac:dyDescent="0.25">
      <c r="A116" s="452"/>
      <c r="B116" s="484" t="s">
        <v>45</v>
      </c>
      <c r="C116" s="484"/>
      <c r="D116" s="484"/>
      <c r="E116" s="484"/>
      <c r="F116" s="484"/>
      <c r="G116" s="484"/>
      <c r="H116" s="453">
        <v>3.3E-3</v>
      </c>
      <c r="I116" s="453"/>
      <c r="J116" s="453"/>
      <c r="K116" s="454"/>
      <c r="M116" s="481"/>
      <c r="N116" s="482"/>
      <c r="O116" s="482"/>
      <c r="P116" s="482"/>
      <c r="Q116" s="482"/>
      <c r="R116" s="482"/>
      <c r="S116" s="482"/>
      <c r="T116" s="483"/>
    </row>
    <row r="117" spans="1:20" ht="18" customHeight="1" x14ac:dyDescent="0.25">
      <c r="A117" s="452" t="s">
        <v>8</v>
      </c>
      <c r="B117" s="443" t="s">
        <v>91</v>
      </c>
      <c r="C117" s="443"/>
      <c r="D117" s="443"/>
      <c r="E117" s="443"/>
      <c r="F117" s="443"/>
      <c r="G117" s="443"/>
      <c r="H117" s="443"/>
      <c r="I117" s="443"/>
      <c r="J117" s="443"/>
      <c r="K117" s="454">
        <f>ROUND(H118*K108,2)</f>
        <v>0.89</v>
      </c>
      <c r="M117" s="481"/>
      <c r="N117" s="482"/>
      <c r="O117" s="482"/>
      <c r="P117" s="482"/>
      <c r="Q117" s="482"/>
      <c r="R117" s="482"/>
      <c r="S117" s="482"/>
      <c r="T117" s="483"/>
    </row>
    <row r="118" spans="1:20" ht="18" customHeight="1" x14ac:dyDescent="0.25">
      <c r="A118" s="452"/>
      <c r="B118" s="485" t="s">
        <v>46</v>
      </c>
      <c r="C118" s="485"/>
      <c r="D118" s="485"/>
      <c r="E118" s="485"/>
      <c r="F118" s="485"/>
      <c r="G118" s="485"/>
      <c r="H118" s="479">
        <v>5.5000000000000003E-4</v>
      </c>
      <c r="I118" s="479"/>
      <c r="J118" s="479"/>
      <c r="K118" s="454"/>
      <c r="M118" s="458"/>
      <c r="N118" s="459"/>
      <c r="O118" s="459"/>
      <c r="P118" s="459"/>
      <c r="Q118" s="459"/>
      <c r="R118" s="459"/>
      <c r="S118" s="459"/>
      <c r="T118" s="460"/>
    </row>
    <row r="119" spans="1:20" ht="18" customHeight="1" x14ac:dyDescent="0.25">
      <c r="A119" s="32" t="s">
        <v>10</v>
      </c>
      <c r="B119" s="468" t="s">
        <v>104</v>
      </c>
      <c r="C119" s="468"/>
      <c r="D119" s="468"/>
      <c r="E119" s="468"/>
      <c r="F119" s="468"/>
      <c r="G119" s="468"/>
      <c r="H119" s="468"/>
      <c r="I119" s="468"/>
      <c r="J119" s="468"/>
      <c r="K119" s="44"/>
      <c r="M119" s="455" t="s">
        <v>115</v>
      </c>
      <c r="N119" s="456"/>
      <c r="O119" s="456"/>
      <c r="P119" s="456"/>
      <c r="Q119" s="456"/>
      <c r="R119" s="456"/>
      <c r="S119" s="456"/>
      <c r="T119" s="457"/>
    </row>
    <row r="120" spans="1:20" ht="18" customHeight="1" x14ac:dyDescent="0.25">
      <c r="A120" s="32"/>
      <c r="B120" s="462" t="s">
        <v>47</v>
      </c>
      <c r="C120" s="462"/>
      <c r="D120" s="462"/>
      <c r="E120" s="462"/>
      <c r="F120" s="462"/>
      <c r="G120" s="462"/>
      <c r="H120" s="480">
        <f>SUM(H110,H112,H114,H116,H118)</f>
        <v>0.10359999999999998</v>
      </c>
      <c r="I120" s="480"/>
      <c r="J120" s="480"/>
      <c r="K120" s="13">
        <f>SUM(K110:K119)</f>
        <v>167.29</v>
      </c>
      <c r="M120" s="458"/>
      <c r="N120" s="459"/>
      <c r="O120" s="459"/>
      <c r="P120" s="459"/>
      <c r="Q120" s="459"/>
      <c r="R120" s="459"/>
      <c r="S120" s="459"/>
      <c r="T120" s="460"/>
    </row>
    <row r="121" spans="1:20" ht="18" customHeight="1" x14ac:dyDescent="0.25">
      <c r="A121" s="32" t="s">
        <v>11</v>
      </c>
      <c r="B121" s="452" t="s">
        <v>48</v>
      </c>
      <c r="C121" s="452"/>
      <c r="D121" s="452"/>
      <c r="E121" s="452"/>
      <c r="F121" s="452"/>
      <c r="G121" s="452"/>
      <c r="H121" s="480">
        <f>H120*I59</f>
        <v>4.12328E-2</v>
      </c>
      <c r="I121" s="480"/>
      <c r="J121" s="480"/>
      <c r="K121" s="36">
        <f>ROUND(H121*K108,2)</f>
        <v>66.58</v>
      </c>
      <c r="M121" s="28"/>
      <c r="N121" s="28"/>
      <c r="O121" s="28"/>
      <c r="P121" s="28"/>
      <c r="Q121" s="28"/>
      <c r="R121" s="28"/>
      <c r="S121" s="28"/>
      <c r="T121" s="28"/>
    </row>
    <row r="122" spans="1:20" ht="18" customHeight="1" x14ac:dyDescent="0.25">
      <c r="A122" s="475" t="s">
        <v>49</v>
      </c>
      <c r="B122" s="475"/>
      <c r="C122" s="475"/>
      <c r="D122" s="475"/>
      <c r="E122" s="475"/>
      <c r="F122" s="475"/>
      <c r="G122" s="475"/>
      <c r="H122" s="477">
        <f>SUM(H120:J121)</f>
        <v>0.14483279999999998</v>
      </c>
      <c r="I122" s="475"/>
      <c r="J122" s="475"/>
      <c r="K122" s="12">
        <f>SUM(K120:K121)</f>
        <v>233.87</v>
      </c>
      <c r="M122" s="28"/>
      <c r="N122" s="29"/>
      <c r="O122" s="29"/>
      <c r="P122" s="29"/>
      <c r="Q122" s="29"/>
      <c r="R122" s="29"/>
      <c r="S122" s="29"/>
      <c r="T122" s="29"/>
    </row>
    <row r="123" spans="1:20" s="2" customFormat="1" ht="5.25" customHeight="1" x14ac:dyDescent="0.25">
      <c r="A123" s="478"/>
      <c r="B123" s="478"/>
      <c r="C123" s="478"/>
      <c r="D123" s="478"/>
      <c r="E123" s="478"/>
      <c r="F123" s="478"/>
      <c r="G123" s="478"/>
      <c r="H123" s="478"/>
      <c r="I123" s="478"/>
      <c r="J123" s="478"/>
      <c r="K123" s="478"/>
      <c r="M123" s="22"/>
      <c r="N123" s="22"/>
      <c r="O123" s="22"/>
      <c r="P123" s="22"/>
      <c r="Q123" s="22"/>
      <c r="R123" s="22"/>
      <c r="S123" s="22"/>
      <c r="T123" s="22"/>
    </row>
    <row r="124" spans="1:20" ht="17.25" customHeight="1" x14ac:dyDescent="0.25">
      <c r="A124" s="462" t="s">
        <v>92</v>
      </c>
      <c r="B124" s="462"/>
      <c r="C124" s="462"/>
      <c r="D124" s="462"/>
      <c r="E124" s="462"/>
      <c r="F124" s="462"/>
      <c r="G124" s="462"/>
      <c r="H124" s="462"/>
      <c r="I124" s="462"/>
      <c r="J124" s="462"/>
      <c r="K124" s="462"/>
    </row>
    <row r="125" spans="1:20" ht="17.25" customHeight="1" x14ac:dyDescent="0.25">
      <c r="A125" s="466"/>
      <c r="B125" s="466"/>
      <c r="C125" s="466"/>
      <c r="D125" s="466"/>
      <c r="E125" s="466"/>
      <c r="F125" s="466"/>
      <c r="G125" s="466"/>
      <c r="H125" s="466"/>
      <c r="I125" s="466"/>
      <c r="J125" s="466"/>
      <c r="K125" s="42" t="s">
        <v>20</v>
      </c>
    </row>
    <row r="126" spans="1:20" ht="17.25" customHeight="1" x14ac:dyDescent="0.25">
      <c r="A126" s="32" t="s">
        <v>1</v>
      </c>
      <c r="B126" s="443" t="s">
        <v>93</v>
      </c>
      <c r="C126" s="443"/>
      <c r="D126" s="443"/>
      <c r="E126" s="443"/>
      <c r="F126" s="443"/>
      <c r="G126" s="443"/>
      <c r="H126" s="443"/>
      <c r="I126" s="443"/>
      <c r="J126" s="443"/>
      <c r="K126" s="36">
        <v>0</v>
      </c>
    </row>
    <row r="127" spans="1:20" ht="17.25" customHeight="1" x14ac:dyDescent="0.25">
      <c r="A127" s="475" t="s">
        <v>50</v>
      </c>
      <c r="B127" s="475"/>
      <c r="C127" s="475"/>
      <c r="D127" s="475"/>
      <c r="E127" s="475"/>
      <c r="F127" s="475"/>
      <c r="G127" s="475"/>
      <c r="H127" s="475"/>
      <c r="I127" s="475"/>
      <c r="J127" s="475"/>
      <c r="K127" s="12">
        <f>K126</f>
        <v>0</v>
      </c>
    </row>
    <row r="128" spans="1:20" ht="5.25" customHeight="1" x14ac:dyDescent="0.25">
      <c r="A128" s="476"/>
      <c r="B128" s="476"/>
      <c r="C128" s="476"/>
      <c r="D128" s="476"/>
      <c r="E128" s="476"/>
      <c r="F128" s="476"/>
      <c r="G128" s="476"/>
      <c r="H128" s="476"/>
      <c r="I128" s="476"/>
      <c r="J128" s="476"/>
      <c r="K128" s="476"/>
    </row>
    <row r="129" spans="1:20" ht="17.25" customHeight="1" x14ac:dyDescent="0.25">
      <c r="A129" s="446" t="s">
        <v>51</v>
      </c>
      <c r="B129" s="446"/>
      <c r="C129" s="446"/>
      <c r="D129" s="446"/>
      <c r="E129" s="446"/>
      <c r="F129" s="446"/>
      <c r="G129" s="446"/>
      <c r="H129" s="446"/>
      <c r="I129" s="446"/>
      <c r="J129" s="446"/>
      <c r="K129" s="11">
        <f>SUM(K122,K127)</f>
        <v>233.87</v>
      </c>
    </row>
    <row r="130" spans="1:20" ht="6.75" customHeight="1" x14ac:dyDescent="0.25">
      <c r="A130" s="465"/>
      <c r="B130" s="465"/>
      <c r="C130" s="465"/>
      <c r="D130" s="465"/>
      <c r="E130" s="465"/>
      <c r="F130" s="465"/>
      <c r="G130" s="465"/>
      <c r="H130" s="465"/>
      <c r="I130" s="465"/>
      <c r="J130" s="465"/>
      <c r="K130" s="465"/>
    </row>
    <row r="131" spans="1:20" ht="17.25" customHeight="1" x14ac:dyDescent="0.25">
      <c r="A131" s="446" t="s">
        <v>52</v>
      </c>
      <c r="B131" s="446"/>
      <c r="C131" s="446"/>
      <c r="D131" s="446"/>
      <c r="E131" s="446"/>
      <c r="F131" s="446"/>
      <c r="G131" s="446"/>
      <c r="H131" s="446"/>
      <c r="I131" s="446"/>
      <c r="J131" s="446"/>
      <c r="K131" s="446"/>
    </row>
    <row r="132" spans="1:20" ht="17.25" customHeight="1" x14ac:dyDescent="0.25">
      <c r="A132" s="32" t="s">
        <v>1</v>
      </c>
      <c r="B132" s="443" t="s">
        <v>187</v>
      </c>
      <c r="C132" s="443"/>
      <c r="D132" s="443"/>
      <c r="E132" s="443"/>
      <c r="F132" s="443"/>
      <c r="G132" s="443"/>
      <c r="H132" s="443"/>
      <c r="I132" s="443"/>
      <c r="J132" s="443"/>
      <c r="K132" s="14">
        <v>35.727499999999999</v>
      </c>
    </row>
    <row r="133" spans="1:20" ht="17.25" customHeight="1" x14ac:dyDescent="0.25">
      <c r="A133" s="32" t="s">
        <v>3</v>
      </c>
      <c r="B133" s="61" t="s">
        <v>188</v>
      </c>
      <c r="C133" s="61"/>
      <c r="D133" s="61"/>
      <c r="E133" s="61"/>
      <c r="F133" s="469" t="s">
        <v>189</v>
      </c>
      <c r="G133" s="470"/>
      <c r="H133" s="470"/>
      <c r="I133" s="471"/>
      <c r="J133" s="63">
        <v>0.12</v>
      </c>
      <c r="K133" s="14">
        <f>(K35+K89+K102+K129+K132)*J133</f>
        <v>385.61609999999996</v>
      </c>
    </row>
    <row r="134" spans="1:20" ht="17.25" customHeight="1" x14ac:dyDescent="0.25">
      <c r="A134" s="32" t="s">
        <v>5</v>
      </c>
      <c r="B134" s="468" t="s">
        <v>22</v>
      </c>
      <c r="C134" s="468"/>
      <c r="D134" s="468"/>
      <c r="E134" s="468"/>
      <c r="F134" s="468"/>
      <c r="G134" s="468"/>
      <c r="H134" s="468"/>
      <c r="I134" s="468"/>
      <c r="J134" s="468"/>
      <c r="K134" s="44"/>
    </row>
    <row r="135" spans="1:20" ht="17.25" customHeight="1" x14ac:dyDescent="0.25">
      <c r="A135" s="446" t="s">
        <v>53</v>
      </c>
      <c r="B135" s="446"/>
      <c r="C135" s="446"/>
      <c r="D135" s="446"/>
      <c r="E135" s="446"/>
      <c r="F135" s="446"/>
      <c r="G135" s="446"/>
      <c r="H135" s="446"/>
      <c r="I135" s="446"/>
      <c r="J135" s="446"/>
      <c r="K135" s="15">
        <f>SUM(K132:K134)</f>
        <v>421.34359999999998</v>
      </c>
    </row>
    <row r="136" spans="1:20" s="5" customFormat="1" ht="17.25" customHeight="1" x14ac:dyDescent="0.25">
      <c r="A136" s="472"/>
      <c r="B136" s="473"/>
      <c r="C136" s="473"/>
      <c r="D136" s="473"/>
      <c r="E136" s="473"/>
      <c r="F136" s="473"/>
      <c r="G136" s="473"/>
      <c r="H136" s="473"/>
      <c r="I136" s="473"/>
      <c r="J136" s="473"/>
      <c r="K136" s="474"/>
      <c r="M136" s="22"/>
      <c r="N136" s="22"/>
      <c r="O136" s="22"/>
      <c r="P136" s="22"/>
      <c r="Q136" s="22"/>
      <c r="R136" s="22"/>
      <c r="S136" s="22"/>
      <c r="T136" s="22"/>
    </row>
    <row r="137" spans="1:20" ht="17.25" customHeight="1" x14ac:dyDescent="0.25">
      <c r="A137" s="446" t="s">
        <v>94</v>
      </c>
      <c r="B137" s="446"/>
      <c r="C137" s="446"/>
      <c r="D137" s="446"/>
      <c r="E137" s="446"/>
      <c r="F137" s="446"/>
      <c r="G137" s="446"/>
      <c r="H137" s="446"/>
      <c r="I137" s="446"/>
      <c r="J137" s="446"/>
      <c r="K137" s="11">
        <f>SUM(K35,K89,K102,K129,K135)</f>
        <v>3599.0835999999999</v>
      </c>
      <c r="M137" s="30"/>
    </row>
    <row r="138" spans="1:20" s="5" customFormat="1" ht="17.25" customHeight="1" x14ac:dyDescent="0.25">
      <c r="A138" s="472"/>
      <c r="B138" s="473"/>
      <c r="C138" s="473"/>
      <c r="D138" s="473"/>
      <c r="E138" s="473"/>
      <c r="F138" s="473"/>
      <c r="G138" s="473"/>
      <c r="H138" s="473"/>
      <c r="I138" s="473"/>
      <c r="J138" s="473"/>
      <c r="K138" s="474"/>
      <c r="M138" s="22"/>
      <c r="N138" s="22"/>
      <c r="O138" s="22"/>
      <c r="P138" s="22"/>
      <c r="Q138" s="22"/>
      <c r="R138" s="22"/>
      <c r="S138" s="22"/>
      <c r="T138" s="22"/>
    </row>
    <row r="139" spans="1:20" ht="6.75" customHeight="1" x14ac:dyDescent="0.25">
      <c r="A139" s="465"/>
      <c r="B139" s="465"/>
      <c r="C139" s="465"/>
      <c r="D139" s="465"/>
      <c r="E139" s="465"/>
      <c r="F139" s="465"/>
      <c r="G139" s="465"/>
      <c r="H139" s="465"/>
      <c r="I139" s="465"/>
      <c r="J139" s="465"/>
      <c r="K139" s="465"/>
    </row>
    <row r="140" spans="1:20" ht="17.25" customHeight="1" x14ac:dyDescent="0.25">
      <c r="A140" s="446" t="s">
        <v>54</v>
      </c>
      <c r="B140" s="446"/>
      <c r="C140" s="446"/>
      <c r="D140" s="446"/>
      <c r="E140" s="446"/>
      <c r="F140" s="446"/>
      <c r="G140" s="446"/>
      <c r="H140" s="446"/>
      <c r="I140" s="446"/>
      <c r="J140" s="446"/>
      <c r="K140" s="446"/>
    </row>
    <row r="141" spans="1:20" ht="17.25" customHeight="1" x14ac:dyDescent="0.25">
      <c r="A141" s="466"/>
      <c r="B141" s="466"/>
      <c r="C141" s="466"/>
      <c r="D141" s="466"/>
      <c r="E141" s="466"/>
      <c r="F141" s="466"/>
      <c r="G141" s="446" t="s">
        <v>25</v>
      </c>
      <c r="H141" s="446"/>
      <c r="I141" s="467" t="s">
        <v>55</v>
      </c>
      <c r="J141" s="467"/>
      <c r="K141" s="42" t="s">
        <v>20</v>
      </c>
    </row>
    <row r="142" spans="1:20" ht="17.25" customHeight="1" x14ac:dyDescent="0.25">
      <c r="A142" s="32" t="s">
        <v>1</v>
      </c>
      <c r="B142" s="443" t="s">
        <v>56</v>
      </c>
      <c r="C142" s="443"/>
      <c r="D142" s="443"/>
      <c r="E142" s="443"/>
      <c r="F142" s="443"/>
      <c r="G142" s="448">
        <v>0.03</v>
      </c>
      <c r="H142" s="448"/>
      <c r="I142" s="454">
        <f>SUM(K35,K89,K102,K129,K135)</f>
        <v>3599.0835999999999</v>
      </c>
      <c r="J142" s="454"/>
      <c r="K142" s="36">
        <f>ROUND(I142*G142,2)</f>
        <v>107.97</v>
      </c>
      <c r="M142" s="455" t="s">
        <v>182</v>
      </c>
      <c r="N142" s="456"/>
      <c r="O142" s="456"/>
      <c r="P142" s="456"/>
      <c r="Q142" s="456"/>
      <c r="R142" s="456"/>
      <c r="S142" s="456"/>
      <c r="T142" s="457"/>
    </row>
    <row r="143" spans="1:20" ht="17.25" customHeight="1" x14ac:dyDescent="0.25">
      <c r="A143" s="32" t="s">
        <v>3</v>
      </c>
      <c r="B143" s="443" t="s">
        <v>57</v>
      </c>
      <c r="C143" s="443"/>
      <c r="D143" s="443"/>
      <c r="E143" s="443"/>
      <c r="F143" s="443"/>
      <c r="G143" s="448">
        <v>6.7900000000000002E-2</v>
      </c>
      <c r="H143" s="448"/>
      <c r="I143" s="454">
        <f>I142+K142</f>
        <v>3707.0535999999997</v>
      </c>
      <c r="J143" s="454"/>
      <c r="K143" s="36">
        <f>ROUND(I143*G143,2)</f>
        <v>251.71</v>
      </c>
      <c r="M143" s="458"/>
      <c r="N143" s="459"/>
      <c r="O143" s="459"/>
      <c r="P143" s="459"/>
      <c r="Q143" s="459"/>
      <c r="R143" s="459"/>
      <c r="S143" s="459"/>
      <c r="T143" s="460"/>
    </row>
    <row r="144" spans="1:20" ht="17.25" customHeight="1" x14ac:dyDescent="0.25">
      <c r="A144" s="452" t="s">
        <v>5</v>
      </c>
      <c r="B144" s="452" t="s">
        <v>58</v>
      </c>
      <c r="C144" s="452"/>
      <c r="D144" s="452" t="s">
        <v>59</v>
      </c>
      <c r="E144" s="452"/>
      <c r="F144" s="32" t="s">
        <v>60</v>
      </c>
      <c r="G144" s="448">
        <v>6.4999999999999997E-3</v>
      </c>
      <c r="H144" s="448"/>
      <c r="I144" s="454">
        <f>I143+K143</f>
        <v>3958.7635999999998</v>
      </c>
      <c r="J144" s="454"/>
      <c r="K144" s="36">
        <f>ROUND(($I$144/(1-$G$151)*G144),2)</f>
        <v>27.86</v>
      </c>
      <c r="M144" s="455" t="s">
        <v>116</v>
      </c>
      <c r="N144" s="456"/>
      <c r="O144" s="456"/>
      <c r="P144" s="456"/>
      <c r="Q144" s="456"/>
      <c r="R144" s="456"/>
      <c r="S144" s="456"/>
      <c r="T144" s="457"/>
    </row>
    <row r="145" spans="1:20" ht="17.25" customHeight="1" x14ac:dyDescent="0.25">
      <c r="A145" s="452"/>
      <c r="B145" s="452"/>
      <c r="C145" s="452"/>
      <c r="D145" s="452"/>
      <c r="E145" s="452"/>
      <c r="F145" s="32" t="s">
        <v>61</v>
      </c>
      <c r="G145" s="448">
        <v>0.03</v>
      </c>
      <c r="H145" s="448"/>
      <c r="I145" s="454"/>
      <c r="J145" s="454"/>
      <c r="K145" s="36">
        <f>ROUND(($I$144/(1-$G$151)*G145),2)</f>
        <v>128.6</v>
      </c>
      <c r="M145" s="449" t="s">
        <v>117</v>
      </c>
      <c r="N145" s="450"/>
      <c r="O145" s="450"/>
      <c r="P145" s="450"/>
      <c r="Q145" s="450"/>
      <c r="R145" s="450"/>
      <c r="S145" s="450"/>
      <c r="T145" s="451"/>
    </row>
    <row r="146" spans="1:20" ht="17.25" customHeight="1" x14ac:dyDescent="0.25">
      <c r="A146" s="452"/>
      <c r="B146" s="452"/>
      <c r="C146" s="452"/>
      <c r="D146" s="452"/>
      <c r="E146" s="452"/>
      <c r="F146" s="41" t="s">
        <v>62</v>
      </c>
      <c r="G146" s="448"/>
      <c r="H146" s="448"/>
      <c r="I146" s="454"/>
      <c r="J146" s="454"/>
      <c r="K146" s="36">
        <f>ROUND(($I$144/(1-$G$151)*G146),2)</f>
        <v>0</v>
      </c>
      <c r="M146" s="449" t="s">
        <v>183</v>
      </c>
      <c r="N146" s="450"/>
      <c r="O146" s="450"/>
      <c r="P146" s="450"/>
      <c r="Q146" s="450"/>
      <c r="R146" s="450"/>
      <c r="S146" s="450"/>
      <c r="T146" s="451"/>
    </row>
    <row r="147" spans="1:20" ht="17.25" customHeight="1" x14ac:dyDescent="0.25">
      <c r="A147" s="452"/>
      <c r="B147" s="452"/>
      <c r="C147" s="452"/>
      <c r="D147" s="452" t="s">
        <v>63</v>
      </c>
      <c r="E147" s="452"/>
      <c r="F147" s="32" t="s">
        <v>64</v>
      </c>
      <c r="G147" s="453">
        <v>0.04</v>
      </c>
      <c r="H147" s="453"/>
      <c r="I147" s="454"/>
      <c r="J147" s="454"/>
      <c r="K147" s="454">
        <f>ROUND(($I$144/(1-$G$151)*G147),2)</f>
        <v>171.47</v>
      </c>
    </row>
    <row r="148" spans="1:20" ht="17.25" customHeight="1" x14ac:dyDescent="0.25">
      <c r="A148" s="452"/>
      <c r="B148" s="452"/>
      <c r="C148" s="452"/>
      <c r="D148" s="452"/>
      <c r="E148" s="452"/>
      <c r="F148" s="16" t="str">
        <f>K11</f>
        <v>Araçatuba / SP</v>
      </c>
      <c r="G148" s="453"/>
      <c r="H148" s="453"/>
      <c r="I148" s="454"/>
      <c r="J148" s="454"/>
      <c r="K148" s="454"/>
    </row>
    <row r="149" spans="1:20" ht="17.25" customHeight="1" x14ac:dyDescent="0.25">
      <c r="A149" s="452"/>
      <c r="B149" s="452"/>
      <c r="C149" s="452"/>
      <c r="D149" s="452"/>
      <c r="E149" s="452"/>
      <c r="F149" s="41" t="s">
        <v>62</v>
      </c>
      <c r="G149" s="448"/>
      <c r="H149" s="448"/>
      <c r="I149" s="454"/>
      <c r="J149" s="454"/>
      <c r="K149" s="36">
        <f>ROUND(($I$144/(1-$G$151)*G149),2)</f>
        <v>0</v>
      </c>
    </row>
    <row r="150" spans="1:20" ht="17.25" customHeight="1" x14ac:dyDescent="0.25">
      <c r="A150" s="452"/>
      <c r="B150" s="452"/>
      <c r="C150" s="452"/>
      <c r="D150" s="461" t="s">
        <v>65</v>
      </c>
      <c r="E150" s="461"/>
      <c r="F150" s="41"/>
      <c r="G150" s="448"/>
      <c r="H150" s="448"/>
      <c r="I150" s="454"/>
      <c r="J150" s="454"/>
      <c r="K150" s="36">
        <f>ROUND(($I$144/(1-$G$151)*G150),2)</f>
        <v>0</v>
      </c>
    </row>
    <row r="151" spans="1:20" ht="17.25" customHeight="1" x14ac:dyDescent="0.25">
      <c r="A151" s="452"/>
      <c r="B151" s="462" t="s">
        <v>66</v>
      </c>
      <c r="C151" s="462"/>
      <c r="D151" s="462"/>
      <c r="E151" s="462"/>
      <c r="F151" s="462"/>
      <c r="G151" s="463">
        <f>SUM(G144:H150)</f>
        <v>7.6499999999999999E-2</v>
      </c>
      <c r="H151" s="463"/>
      <c r="I151" s="464"/>
      <c r="J151" s="464"/>
      <c r="K151" s="17"/>
      <c r="M151" s="31"/>
    </row>
    <row r="152" spans="1:20" ht="17.25" customHeight="1" x14ac:dyDescent="0.25">
      <c r="A152" s="446" t="s">
        <v>67</v>
      </c>
      <c r="B152" s="446"/>
      <c r="C152" s="446"/>
      <c r="D152" s="446"/>
      <c r="E152" s="446"/>
      <c r="F152" s="446"/>
      <c r="G152" s="446"/>
      <c r="H152" s="446"/>
      <c r="I152" s="447">
        <f>((1+G142)*(1+G143))/(1-G151)-1</f>
        <v>0.19105251759610198</v>
      </c>
      <c r="J152" s="447"/>
      <c r="K152" s="11">
        <f>ROUND(SUM(K142:K150),2)</f>
        <v>687.61</v>
      </c>
    </row>
    <row r="153" spans="1:20" ht="6" customHeight="1" x14ac:dyDescent="0.25">
      <c r="A153" s="445"/>
      <c r="B153" s="445"/>
      <c r="C153" s="445"/>
      <c r="D153" s="445"/>
      <c r="E153" s="445"/>
      <c r="F153" s="445"/>
      <c r="G153" s="445"/>
      <c r="H153" s="445"/>
      <c r="I153" s="445"/>
      <c r="J153" s="445"/>
      <c r="K153" s="445"/>
    </row>
    <row r="154" spans="1:20" ht="19.5" customHeight="1" x14ac:dyDescent="0.25">
      <c r="A154" s="444" t="s">
        <v>105</v>
      </c>
      <c r="B154" s="444"/>
      <c r="C154" s="444"/>
      <c r="D154" s="444"/>
      <c r="E154" s="444"/>
      <c r="F154" s="444"/>
      <c r="G154" s="444"/>
      <c r="H154" s="444"/>
      <c r="I154" s="444"/>
      <c r="J154" s="444"/>
      <c r="K154" s="39" t="s">
        <v>20</v>
      </c>
    </row>
    <row r="155" spans="1:20" ht="17.25" customHeight="1" x14ac:dyDescent="0.25">
      <c r="A155" s="32" t="s">
        <v>1</v>
      </c>
      <c r="B155" s="443" t="s">
        <v>68</v>
      </c>
      <c r="C155" s="443"/>
      <c r="D155" s="443"/>
      <c r="E155" s="443"/>
      <c r="F155" s="443"/>
      <c r="G155" s="443"/>
      <c r="H155" s="443"/>
      <c r="I155" s="443"/>
      <c r="J155" s="443"/>
      <c r="K155" s="36">
        <f>K35</f>
        <v>1351.97</v>
      </c>
    </row>
    <row r="156" spans="1:20" ht="17.25" customHeight="1" x14ac:dyDescent="0.25">
      <c r="A156" s="32" t="s">
        <v>3</v>
      </c>
      <c r="B156" s="443" t="s">
        <v>69</v>
      </c>
      <c r="C156" s="443"/>
      <c r="D156" s="443"/>
      <c r="E156" s="443"/>
      <c r="F156" s="443"/>
      <c r="G156" s="443"/>
      <c r="H156" s="443"/>
      <c r="I156" s="443"/>
      <c r="J156" s="443"/>
      <c r="K156" s="36">
        <f>K89</f>
        <v>1484.24</v>
      </c>
    </row>
    <row r="157" spans="1:20" ht="17.25" customHeight="1" x14ac:dyDescent="0.25">
      <c r="A157" s="32" t="s">
        <v>5</v>
      </c>
      <c r="B157" s="443" t="s">
        <v>70</v>
      </c>
      <c r="C157" s="443"/>
      <c r="D157" s="443"/>
      <c r="E157" s="443"/>
      <c r="F157" s="443"/>
      <c r="G157" s="443"/>
      <c r="H157" s="443"/>
      <c r="I157" s="443"/>
      <c r="J157" s="443"/>
      <c r="K157" s="36">
        <f>K102</f>
        <v>107.66</v>
      </c>
    </row>
    <row r="158" spans="1:20" ht="17.25" customHeight="1" x14ac:dyDescent="0.25">
      <c r="A158" s="32" t="s">
        <v>6</v>
      </c>
      <c r="B158" s="443" t="s">
        <v>71</v>
      </c>
      <c r="C158" s="443"/>
      <c r="D158" s="443"/>
      <c r="E158" s="443"/>
      <c r="F158" s="443"/>
      <c r="G158" s="443"/>
      <c r="H158" s="443"/>
      <c r="I158" s="443"/>
      <c r="J158" s="443"/>
      <c r="K158" s="36">
        <f>K129</f>
        <v>233.87</v>
      </c>
    </row>
    <row r="159" spans="1:20" ht="17.25" customHeight="1" x14ac:dyDescent="0.25">
      <c r="A159" s="32" t="s">
        <v>8</v>
      </c>
      <c r="B159" s="443" t="s">
        <v>72</v>
      </c>
      <c r="C159" s="443"/>
      <c r="D159" s="443"/>
      <c r="E159" s="443"/>
      <c r="F159" s="443"/>
      <c r="G159" s="443"/>
      <c r="H159" s="443"/>
      <c r="I159" s="443"/>
      <c r="J159" s="443"/>
      <c r="K159" s="36">
        <f>K135</f>
        <v>421.34359999999998</v>
      </c>
    </row>
    <row r="160" spans="1:20" ht="17.25" customHeight="1" x14ac:dyDescent="0.25">
      <c r="A160" s="32" t="s">
        <v>10</v>
      </c>
      <c r="B160" s="443" t="s">
        <v>73</v>
      </c>
      <c r="C160" s="443"/>
      <c r="D160" s="443"/>
      <c r="E160" s="443"/>
      <c r="F160" s="443"/>
      <c r="G160" s="443"/>
      <c r="H160" s="443"/>
      <c r="I160" s="443"/>
      <c r="J160" s="443"/>
      <c r="K160" s="36">
        <f>K152</f>
        <v>687.61</v>
      </c>
    </row>
    <row r="161" spans="1:11" ht="18" customHeight="1" x14ac:dyDescent="0.25">
      <c r="A161" s="444" t="s">
        <v>74</v>
      </c>
      <c r="B161" s="444"/>
      <c r="C161" s="444"/>
      <c r="D161" s="444"/>
      <c r="E161" s="444"/>
      <c r="F161" s="444"/>
      <c r="G161" s="444"/>
      <c r="H161" s="444"/>
      <c r="I161" s="444"/>
      <c r="J161" s="444"/>
      <c r="K161" s="18">
        <f>ROUND(SUM(K155:K160),2)</f>
        <v>4286.6899999999996</v>
      </c>
    </row>
    <row r="162" spans="1:11" ht="6" customHeight="1" x14ac:dyDescent="0.25">
      <c r="A162" s="445"/>
      <c r="B162" s="445"/>
      <c r="C162" s="445"/>
      <c r="D162" s="445"/>
      <c r="E162" s="445"/>
      <c r="F162" s="445"/>
      <c r="G162" s="445"/>
      <c r="H162" s="445"/>
      <c r="I162" s="445"/>
      <c r="J162" s="445"/>
      <c r="K162" s="445"/>
    </row>
    <row r="164" spans="1:11" x14ac:dyDescent="0.25">
      <c r="I164" s="6"/>
    </row>
  </sheetData>
  <sheetProtection selectLockedCells="1" selectUnlockedCells="1"/>
  <mergeCells count="290">
    <mergeCell ref="A5:C5"/>
    <mergeCell ref="D5:K5"/>
    <mergeCell ref="A6:C6"/>
    <mergeCell ref="D6:K6"/>
    <mergeCell ref="A7:K7"/>
    <mergeCell ref="A8:K8"/>
    <mergeCell ref="A1:K1"/>
    <mergeCell ref="A2:K2"/>
    <mergeCell ref="A3:C3"/>
    <mergeCell ref="D3:K3"/>
    <mergeCell ref="A4:C4"/>
    <mergeCell ref="D4:K4"/>
    <mergeCell ref="B15:J15"/>
    <mergeCell ref="B16:J16"/>
    <mergeCell ref="B17:J17"/>
    <mergeCell ref="B18:J18"/>
    <mergeCell ref="B19:J19"/>
    <mergeCell ref="B20:J20"/>
    <mergeCell ref="A9:K9"/>
    <mergeCell ref="B10:J10"/>
    <mergeCell ref="B11:J11"/>
    <mergeCell ref="B12:J12"/>
    <mergeCell ref="B13:J13"/>
    <mergeCell ref="B14:J14"/>
    <mergeCell ref="B27:G27"/>
    <mergeCell ref="I27:J27"/>
    <mergeCell ref="B28:G28"/>
    <mergeCell ref="I28:J28"/>
    <mergeCell ref="B29:G29"/>
    <mergeCell ref="I29:J29"/>
    <mergeCell ref="B21:J21"/>
    <mergeCell ref="B22:J22"/>
    <mergeCell ref="A23:K23"/>
    <mergeCell ref="A24:K24"/>
    <mergeCell ref="A25:J25"/>
    <mergeCell ref="B26:G26"/>
    <mergeCell ref="I26:J26"/>
    <mergeCell ref="K31:K33"/>
    <mergeCell ref="M31:T33"/>
    <mergeCell ref="I33:J33"/>
    <mergeCell ref="B34:J34"/>
    <mergeCell ref="A35:J35"/>
    <mergeCell ref="A36:K36"/>
    <mergeCell ref="B30:G30"/>
    <mergeCell ref="I30:J30"/>
    <mergeCell ref="A31:A33"/>
    <mergeCell ref="B31:F33"/>
    <mergeCell ref="G31:G32"/>
    <mergeCell ref="H31:H32"/>
    <mergeCell ref="I31:J32"/>
    <mergeCell ref="M40:T42"/>
    <mergeCell ref="B41:H41"/>
    <mergeCell ref="I41:J41"/>
    <mergeCell ref="B42:H42"/>
    <mergeCell ref="I42:J42"/>
    <mergeCell ref="A43:H43"/>
    <mergeCell ref="I43:J43"/>
    <mergeCell ref="A37:K37"/>
    <mergeCell ref="A38:K38"/>
    <mergeCell ref="A39:H39"/>
    <mergeCell ref="I39:J39"/>
    <mergeCell ref="B40:H40"/>
    <mergeCell ref="I40:J40"/>
    <mergeCell ref="B50:H50"/>
    <mergeCell ref="I50:J50"/>
    <mergeCell ref="B51:H51"/>
    <mergeCell ref="I51:J51"/>
    <mergeCell ref="A52:A53"/>
    <mergeCell ref="B52:F53"/>
    <mergeCell ref="I52:J53"/>
    <mergeCell ref="A44:K44"/>
    <mergeCell ref="A45:K45"/>
    <mergeCell ref="A46:J46"/>
    <mergeCell ref="A47:J47"/>
    <mergeCell ref="A48:J48"/>
    <mergeCell ref="A49:H49"/>
    <mergeCell ref="I49:J49"/>
    <mergeCell ref="M61:T62"/>
    <mergeCell ref="A62:J62"/>
    <mergeCell ref="B56:H56"/>
    <mergeCell ref="I56:J56"/>
    <mergeCell ref="B57:H57"/>
    <mergeCell ref="I57:J57"/>
    <mergeCell ref="B58:H58"/>
    <mergeCell ref="I58:J58"/>
    <mergeCell ref="K52:K53"/>
    <mergeCell ref="M52:T53"/>
    <mergeCell ref="B54:H54"/>
    <mergeCell ref="I54:J54"/>
    <mergeCell ref="B55:H55"/>
    <mergeCell ref="I55:J55"/>
    <mergeCell ref="A63:A65"/>
    <mergeCell ref="B63:F63"/>
    <mergeCell ref="G63:J63"/>
    <mergeCell ref="K63:K65"/>
    <mergeCell ref="B64:D64"/>
    <mergeCell ref="G64:J64"/>
    <mergeCell ref="B65:D65"/>
    <mergeCell ref="G65:J65"/>
    <mergeCell ref="A59:H59"/>
    <mergeCell ref="I59:J59"/>
    <mergeCell ref="A60:K60"/>
    <mergeCell ref="A61:K61"/>
    <mergeCell ref="A66:A68"/>
    <mergeCell ref="B66:F66"/>
    <mergeCell ref="G66:J66"/>
    <mergeCell ref="K66:K68"/>
    <mergeCell ref="M66:T68"/>
    <mergeCell ref="B67:E67"/>
    <mergeCell ref="G67:J67"/>
    <mergeCell ref="B68:E68"/>
    <mergeCell ref="G68:J68"/>
    <mergeCell ref="A72:A74"/>
    <mergeCell ref="B72:F72"/>
    <mergeCell ref="G72:J72"/>
    <mergeCell ref="K72:K74"/>
    <mergeCell ref="B73:F73"/>
    <mergeCell ref="G73:J73"/>
    <mergeCell ref="B74:F74"/>
    <mergeCell ref="G74:J74"/>
    <mergeCell ref="A69:A71"/>
    <mergeCell ref="B69:F69"/>
    <mergeCell ref="G69:J69"/>
    <mergeCell ref="B70:F70"/>
    <mergeCell ref="G70:J70"/>
    <mergeCell ref="K70:K71"/>
    <mergeCell ref="B71:F71"/>
    <mergeCell ref="G71:J71"/>
    <mergeCell ref="A75:A77"/>
    <mergeCell ref="B75:F75"/>
    <mergeCell ref="G75:J75"/>
    <mergeCell ref="K75:K77"/>
    <mergeCell ref="M75:T77"/>
    <mergeCell ref="B76:E76"/>
    <mergeCell ref="G76:J76"/>
    <mergeCell ref="B77:E77"/>
    <mergeCell ref="G77:J77"/>
    <mergeCell ref="A81:A83"/>
    <mergeCell ref="B81:F81"/>
    <mergeCell ref="G81:J81"/>
    <mergeCell ref="K81:K83"/>
    <mergeCell ref="B82:F82"/>
    <mergeCell ref="G82:J82"/>
    <mergeCell ref="B83:F83"/>
    <mergeCell ref="G83:J83"/>
    <mergeCell ref="A78:A80"/>
    <mergeCell ref="B78:F78"/>
    <mergeCell ref="G78:J78"/>
    <mergeCell ref="K78:K80"/>
    <mergeCell ref="B79:E79"/>
    <mergeCell ref="G79:J79"/>
    <mergeCell ref="B80:E80"/>
    <mergeCell ref="G80:J80"/>
    <mergeCell ref="B87:J87"/>
    <mergeCell ref="A88:J88"/>
    <mergeCell ref="A89:J89"/>
    <mergeCell ref="A90:K90"/>
    <mergeCell ref="A91:K91"/>
    <mergeCell ref="M91:T92"/>
    <mergeCell ref="A92:J92"/>
    <mergeCell ref="A84:A86"/>
    <mergeCell ref="B84:F84"/>
    <mergeCell ref="G84:J84"/>
    <mergeCell ref="K84:K86"/>
    <mergeCell ref="B85:F85"/>
    <mergeCell ref="G85:J85"/>
    <mergeCell ref="B86:F86"/>
    <mergeCell ref="G86:J86"/>
    <mergeCell ref="B98:G98"/>
    <mergeCell ref="H98:J98"/>
    <mergeCell ref="B99:G99"/>
    <mergeCell ref="H99:J99"/>
    <mergeCell ref="B100:G100"/>
    <mergeCell ref="H100:J100"/>
    <mergeCell ref="A93:J93"/>
    <mergeCell ref="M93:T94"/>
    <mergeCell ref="A94:J94"/>
    <mergeCell ref="A95:G95"/>
    <mergeCell ref="H95:J95"/>
    <mergeCell ref="M95:T100"/>
    <mergeCell ref="B96:G96"/>
    <mergeCell ref="H96:J96"/>
    <mergeCell ref="B97:G97"/>
    <mergeCell ref="H97:J97"/>
    <mergeCell ref="A107:J107"/>
    <mergeCell ref="A108:J108"/>
    <mergeCell ref="A109:G109"/>
    <mergeCell ref="H109:J109"/>
    <mergeCell ref="B110:G110"/>
    <mergeCell ref="H110:J110"/>
    <mergeCell ref="B101:G101"/>
    <mergeCell ref="H101:J101"/>
    <mergeCell ref="M101:T102"/>
    <mergeCell ref="A102:G102"/>
    <mergeCell ref="H102:J102"/>
    <mergeCell ref="A103:K103"/>
    <mergeCell ref="M103:T107"/>
    <mergeCell ref="A104:K104"/>
    <mergeCell ref="A105:K105"/>
    <mergeCell ref="A106:J106"/>
    <mergeCell ref="A113:A114"/>
    <mergeCell ref="B113:J113"/>
    <mergeCell ref="K113:K114"/>
    <mergeCell ref="M113:T114"/>
    <mergeCell ref="B114:G114"/>
    <mergeCell ref="H114:J114"/>
    <mergeCell ref="A111:A112"/>
    <mergeCell ref="B111:J111"/>
    <mergeCell ref="K111:K112"/>
    <mergeCell ref="M111:T112"/>
    <mergeCell ref="F112:G112"/>
    <mergeCell ref="H112:J112"/>
    <mergeCell ref="A115:A116"/>
    <mergeCell ref="B115:J115"/>
    <mergeCell ref="K115:K116"/>
    <mergeCell ref="M115:T118"/>
    <mergeCell ref="B116:G116"/>
    <mergeCell ref="H116:J116"/>
    <mergeCell ref="A117:A118"/>
    <mergeCell ref="B117:J117"/>
    <mergeCell ref="K117:K118"/>
    <mergeCell ref="B118:G118"/>
    <mergeCell ref="A122:G122"/>
    <mergeCell ref="H122:J122"/>
    <mergeCell ref="A123:K123"/>
    <mergeCell ref="A124:K124"/>
    <mergeCell ref="A125:J125"/>
    <mergeCell ref="B126:J126"/>
    <mergeCell ref="H118:J118"/>
    <mergeCell ref="B119:J119"/>
    <mergeCell ref="M119:T120"/>
    <mergeCell ref="B120:G120"/>
    <mergeCell ref="H120:J120"/>
    <mergeCell ref="B121:G121"/>
    <mergeCell ref="H121:J121"/>
    <mergeCell ref="F133:I133"/>
    <mergeCell ref="A135:J135"/>
    <mergeCell ref="A136:K136"/>
    <mergeCell ref="A137:J137"/>
    <mergeCell ref="A138:K138"/>
    <mergeCell ref="A127:J127"/>
    <mergeCell ref="A128:K128"/>
    <mergeCell ref="A129:J129"/>
    <mergeCell ref="A130:K130"/>
    <mergeCell ref="A131:K131"/>
    <mergeCell ref="B132:J132"/>
    <mergeCell ref="A139:K139"/>
    <mergeCell ref="A140:K140"/>
    <mergeCell ref="A141:F141"/>
    <mergeCell ref="G141:H141"/>
    <mergeCell ref="I141:J141"/>
    <mergeCell ref="B142:F142"/>
    <mergeCell ref="G142:H142"/>
    <mergeCell ref="I142:J142"/>
    <mergeCell ref="B134:J134"/>
    <mergeCell ref="M142:T143"/>
    <mergeCell ref="B143:F143"/>
    <mergeCell ref="G143:H143"/>
    <mergeCell ref="I143:J143"/>
    <mergeCell ref="A144:A151"/>
    <mergeCell ref="B144:C150"/>
    <mergeCell ref="D144:E146"/>
    <mergeCell ref="G144:H144"/>
    <mergeCell ref="I144:J150"/>
    <mergeCell ref="M144:T144"/>
    <mergeCell ref="D150:E150"/>
    <mergeCell ref="G150:H150"/>
    <mergeCell ref="B151:F151"/>
    <mergeCell ref="G151:H151"/>
    <mergeCell ref="I151:J151"/>
    <mergeCell ref="A152:H152"/>
    <mergeCell ref="I152:J152"/>
    <mergeCell ref="G145:H145"/>
    <mergeCell ref="M145:T145"/>
    <mergeCell ref="G146:H146"/>
    <mergeCell ref="M146:T146"/>
    <mergeCell ref="D147:E149"/>
    <mergeCell ref="G147:H148"/>
    <mergeCell ref="K147:K148"/>
    <mergeCell ref="G149:H149"/>
    <mergeCell ref="B159:J159"/>
    <mergeCell ref="B160:J160"/>
    <mergeCell ref="A161:J161"/>
    <mergeCell ref="A162:K162"/>
    <mergeCell ref="A153:K153"/>
    <mergeCell ref="A154:J154"/>
    <mergeCell ref="B155:J155"/>
    <mergeCell ref="B156:J156"/>
    <mergeCell ref="B157:J157"/>
    <mergeCell ref="B158:J1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firstPageNumber="0" fitToHeight="2" orientation="portrait" r:id="rId1"/>
  <headerFooter alignWithMargins="0"/>
  <rowBreaks count="1" manualBreakCount="1">
    <brk id="9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64"/>
  <sheetViews>
    <sheetView showGridLines="0" showZeros="0" topLeftCell="A7" zoomScaleNormal="100" zoomScaleSheetLayoutView="100" zoomScalePageLayoutView="60" workbookViewId="0">
      <selection activeCell="K17" sqref="K17"/>
    </sheetView>
  </sheetViews>
  <sheetFormatPr defaultColWidth="8.7109375" defaultRowHeight="15" x14ac:dyDescent="0.25"/>
  <cols>
    <col min="1" max="1" width="7.140625" style="1" customWidth="1"/>
    <col min="2" max="2" width="6.7109375" style="1" customWidth="1"/>
    <col min="3" max="3" width="6.28515625" style="1" customWidth="1"/>
    <col min="4" max="4" width="8.7109375" style="1"/>
    <col min="5" max="5" width="11.28515625" style="1" customWidth="1"/>
    <col min="6" max="6" width="19.140625" style="1" customWidth="1"/>
    <col min="7" max="8" width="10.7109375" style="1" customWidth="1"/>
    <col min="9" max="9" width="8.7109375" style="1"/>
    <col min="10" max="10" width="7" style="1" customWidth="1"/>
    <col min="11" max="11" width="37.140625" style="3" customWidth="1"/>
    <col min="12" max="12" width="3.42578125" style="1" customWidth="1"/>
    <col min="13" max="13" width="11.140625" style="22" bestFit="1" customWidth="1"/>
    <col min="14" max="19" width="8.7109375" style="22"/>
    <col min="20" max="20" width="19.5703125" style="22" customWidth="1"/>
    <col min="21" max="16384" width="8.7109375" style="1"/>
  </cols>
  <sheetData>
    <row r="1" spans="1:12" ht="21.75" customHeight="1" x14ac:dyDescent="0.25">
      <c r="A1" s="562" t="s">
        <v>156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2" ht="6.75" customHeight="1" x14ac:dyDescent="0.25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</row>
    <row r="3" spans="1:12" ht="17.25" customHeight="1" x14ac:dyDescent="0.25">
      <c r="A3" s="557" t="s">
        <v>75</v>
      </c>
      <c r="B3" s="557"/>
      <c r="C3" s="557"/>
      <c r="D3" s="558" t="s">
        <v>157</v>
      </c>
      <c r="E3" s="559"/>
      <c r="F3" s="559"/>
      <c r="G3" s="559"/>
      <c r="H3" s="559"/>
      <c r="I3" s="559"/>
      <c r="J3" s="559"/>
      <c r="K3" s="560"/>
    </row>
    <row r="4" spans="1:12" ht="17.25" customHeight="1" x14ac:dyDescent="0.25">
      <c r="A4" s="557" t="s">
        <v>95</v>
      </c>
      <c r="B4" s="557"/>
      <c r="C4" s="557"/>
      <c r="D4" s="558" t="s">
        <v>158</v>
      </c>
      <c r="E4" s="559"/>
      <c r="F4" s="559"/>
      <c r="G4" s="559"/>
      <c r="H4" s="559"/>
      <c r="I4" s="559"/>
      <c r="J4" s="559"/>
      <c r="K4" s="560"/>
    </row>
    <row r="5" spans="1:12" ht="17.25" customHeight="1" x14ac:dyDescent="0.25">
      <c r="A5" s="557" t="s">
        <v>96</v>
      </c>
      <c r="B5" s="557"/>
      <c r="C5" s="557"/>
      <c r="D5" s="558" t="s">
        <v>97</v>
      </c>
      <c r="E5" s="559"/>
      <c r="F5" s="559"/>
      <c r="G5" s="559"/>
      <c r="H5" s="559"/>
      <c r="I5" s="559"/>
      <c r="J5" s="559"/>
      <c r="K5" s="560"/>
    </row>
    <row r="6" spans="1:12" ht="17.25" customHeight="1" x14ac:dyDescent="0.25">
      <c r="A6" s="557" t="s">
        <v>159</v>
      </c>
      <c r="B6" s="557"/>
      <c r="C6" s="557"/>
      <c r="D6" s="558" t="s">
        <v>212</v>
      </c>
      <c r="E6" s="559"/>
      <c r="F6" s="559"/>
      <c r="G6" s="559"/>
      <c r="H6" s="559"/>
      <c r="I6" s="559"/>
      <c r="J6" s="559"/>
      <c r="K6" s="560"/>
    </row>
    <row r="7" spans="1:12" ht="6.75" customHeight="1" x14ac:dyDescent="0.25">
      <c r="A7" s="561"/>
      <c r="B7" s="561"/>
      <c r="C7" s="561"/>
      <c r="D7" s="561"/>
      <c r="E7" s="561"/>
      <c r="F7" s="561"/>
      <c r="G7" s="561"/>
      <c r="H7" s="561"/>
      <c r="I7" s="561"/>
      <c r="J7" s="561"/>
      <c r="K7" s="561"/>
    </row>
    <row r="8" spans="1:12" ht="6.75" customHeight="1" x14ac:dyDescent="0.25">
      <c r="A8" s="465"/>
      <c r="B8" s="465"/>
      <c r="C8" s="465"/>
      <c r="D8" s="465"/>
      <c r="E8" s="465"/>
      <c r="F8" s="465"/>
      <c r="G8" s="465"/>
      <c r="H8" s="465"/>
      <c r="I8" s="465"/>
      <c r="J8" s="465"/>
      <c r="K8" s="465"/>
    </row>
    <row r="9" spans="1:12" ht="17.25" customHeight="1" x14ac:dyDescent="0.25">
      <c r="A9" s="446" t="s">
        <v>0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</row>
    <row r="10" spans="1:12" ht="17.25" customHeight="1" x14ac:dyDescent="0.25">
      <c r="A10" s="78" t="s">
        <v>1</v>
      </c>
      <c r="B10" s="443" t="s">
        <v>2</v>
      </c>
      <c r="C10" s="443"/>
      <c r="D10" s="443"/>
      <c r="E10" s="443"/>
      <c r="F10" s="443"/>
      <c r="G10" s="443"/>
      <c r="H10" s="443"/>
      <c r="I10" s="443"/>
      <c r="J10" s="443"/>
      <c r="K10" s="7"/>
    </row>
    <row r="11" spans="1:12" ht="16.5" customHeight="1" x14ac:dyDescent="0.25">
      <c r="A11" s="78" t="s">
        <v>3</v>
      </c>
      <c r="B11" s="443" t="s">
        <v>4</v>
      </c>
      <c r="C11" s="443"/>
      <c r="D11" s="443"/>
      <c r="E11" s="443"/>
      <c r="F11" s="443"/>
      <c r="G11" s="443"/>
      <c r="H11" s="443"/>
      <c r="I11" s="443"/>
      <c r="J11" s="443"/>
      <c r="K11" s="89" t="s">
        <v>213</v>
      </c>
    </row>
    <row r="12" spans="1:12" x14ac:dyDescent="0.25">
      <c r="A12" s="78" t="s">
        <v>5</v>
      </c>
      <c r="B12" s="443" t="s">
        <v>120</v>
      </c>
      <c r="C12" s="443"/>
      <c r="D12" s="443"/>
      <c r="E12" s="443"/>
      <c r="F12" s="443"/>
      <c r="G12" s="443"/>
      <c r="H12" s="443"/>
      <c r="I12" s="443"/>
      <c r="J12" s="443"/>
      <c r="K12" s="45" t="s">
        <v>219</v>
      </c>
    </row>
    <row r="13" spans="1:12" ht="16.5" customHeight="1" x14ac:dyDescent="0.25">
      <c r="A13" s="78" t="s">
        <v>6</v>
      </c>
      <c r="B13" s="485" t="s">
        <v>77</v>
      </c>
      <c r="C13" s="485"/>
      <c r="D13" s="485"/>
      <c r="E13" s="485"/>
      <c r="F13" s="485"/>
      <c r="G13" s="485"/>
      <c r="H13" s="485"/>
      <c r="I13" s="485"/>
      <c r="J13" s="485"/>
      <c r="K13" s="89" t="s">
        <v>160</v>
      </c>
    </row>
    <row r="14" spans="1:12" ht="16.5" customHeight="1" x14ac:dyDescent="0.25">
      <c r="A14" s="78" t="s">
        <v>8</v>
      </c>
      <c r="B14" s="485" t="s">
        <v>127</v>
      </c>
      <c r="C14" s="485"/>
      <c r="D14" s="485"/>
      <c r="E14" s="485"/>
      <c r="F14" s="485"/>
      <c r="G14" s="485"/>
      <c r="H14" s="485"/>
      <c r="I14" s="485"/>
      <c r="J14" s="485"/>
      <c r="K14" s="40" t="s">
        <v>222</v>
      </c>
    </row>
    <row r="15" spans="1:12" ht="16.5" customHeight="1" x14ac:dyDescent="0.25">
      <c r="A15" s="78" t="s">
        <v>10</v>
      </c>
      <c r="B15" s="485" t="s">
        <v>7</v>
      </c>
      <c r="C15" s="485"/>
      <c r="D15" s="485"/>
      <c r="E15" s="485"/>
      <c r="F15" s="485"/>
      <c r="G15" s="485"/>
      <c r="H15" s="485"/>
      <c r="I15" s="485"/>
      <c r="J15" s="485"/>
      <c r="K15" s="89" t="s">
        <v>220</v>
      </c>
    </row>
    <row r="16" spans="1:12" ht="16.5" customHeight="1" x14ac:dyDescent="0.25">
      <c r="A16" s="78" t="s">
        <v>11</v>
      </c>
      <c r="B16" s="485" t="s">
        <v>9</v>
      </c>
      <c r="C16" s="485"/>
      <c r="D16" s="485"/>
      <c r="E16" s="485"/>
      <c r="F16" s="485"/>
      <c r="G16" s="485"/>
      <c r="H16" s="485"/>
      <c r="I16" s="485"/>
      <c r="J16" s="485"/>
      <c r="K16" s="89" t="s">
        <v>221</v>
      </c>
      <c r="L16" s="4"/>
    </row>
    <row r="17" spans="1:20" ht="16.5" customHeight="1" x14ac:dyDescent="0.25">
      <c r="A17" s="78" t="s">
        <v>12</v>
      </c>
      <c r="B17" s="485" t="s">
        <v>143</v>
      </c>
      <c r="C17" s="485"/>
      <c r="D17" s="485"/>
      <c r="E17" s="485"/>
      <c r="F17" s="485"/>
      <c r="G17" s="485"/>
      <c r="H17" s="485"/>
      <c r="I17" s="485"/>
      <c r="J17" s="485"/>
      <c r="K17" s="89">
        <v>1039</v>
      </c>
      <c r="L17" s="4"/>
    </row>
    <row r="18" spans="1:20" ht="16.5" customHeight="1" x14ac:dyDescent="0.25">
      <c r="A18" s="78" t="s">
        <v>14</v>
      </c>
      <c r="B18" s="485" t="s">
        <v>162</v>
      </c>
      <c r="C18" s="485"/>
      <c r="D18" s="485"/>
      <c r="E18" s="485"/>
      <c r="F18" s="485"/>
      <c r="G18" s="485"/>
      <c r="H18" s="485"/>
      <c r="I18" s="485"/>
      <c r="J18" s="485"/>
      <c r="K18" s="89">
        <v>1358.86</v>
      </c>
    </row>
    <row r="19" spans="1:20" x14ac:dyDescent="0.25">
      <c r="A19" s="78" t="s">
        <v>16</v>
      </c>
      <c r="B19" s="443" t="s">
        <v>84</v>
      </c>
      <c r="C19" s="443"/>
      <c r="D19" s="443"/>
      <c r="E19" s="443"/>
      <c r="F19" s="443"/>
      <c r="G19" s="443"/>
      <c r="H19" s="443"/>
      <c r="I19" s="443"/>
      <c r="J19" s="443"/>
      <c r="K19" s="8" t="s">
        <v>214</v>
      </c>
    </row>
    <row r="20" spans="1:20" ht="16.5" customHeight="1" x14ac:dyDescent="0.25">
      <c r="A20" s="78" t="s">
        <v>76</v>
      </c>
      <c r="B20" s="443" t="s">
        <v>13</v>
      </c>
      <c r="C20" s="443"/>
      <c r="D20" s="443"/>
      <c r="E20" s="443"/>
      <c r="F20" s="443"/>
      <c r="G20" s="443"/>
      <c r="H20" s="443"/>
      <c r="I20" s="443"/>
      <c r="J20" s="443"/>
      <c r="K20" s="19">
        <v>43466</v>
      </c>
    </row>
    <row r="21" spans="1:20" ht="17.25" customHeight="1" x14ac:dyDescent="0.25">
      <c r="A21" s="78" t="s">
        <v>78</v>
      </c>
      <c r="B21" s="443" t="s">
        <v>15</v>
      </c>
      <c r="C21" s="443"/>
      <c r="D21" s="443"/>
      <c r="E21" s="443"/>
      <c r="F21" s="443"/>
      <c r="G21" s="443"/>
      <c r="H21" s="443"/>
      <c r="I21" s="443"/>
      <c r="J21" s="443"/>
      <c r="K21" s="9" t="s">
        <v>163</v>
      </c>
    </row>
    <row r="22" spans="1:20" ht="17.25" customHeight="1" x14ac:dyDescent="0.25">
      <c r="A22" s="78" t="s">
        <v>142</v>
      </c>
      <c r="B22" s="443" t="s">
        <v>17</v>
      </c>
      <c r="C22" s="443"/>
      <c r="D22" s="443"/>
      <c r="E22" s="443"/>
      <c r="F22" s="443"/>
      <c r="G22" s="443"/>
      <c r="H22" s="443"/>
      <c r="I22" s="443"/>
      <c r="J22" s="443"/>
      <c r="K22" s="10">
        <v>12</v>
      </c>
    </row>
    <row r="23" spans="1:20" ht="6.75" customHeight="1" x14ac:dyDescent="0.25">
      <c r="A23" s="465"/>
      <c r="B23" s="465"/>
      <c r="C23" s="465"/>
      <c r="D23" s="465"/>
      <c r="E23" s="465"/>
      <c r="F23" s="465"/>
      <c r="G23" s="465"/>
      <c r="H23" s="465"/>
      <c r="I23" s="465"/>
      <c r="J23" s="465"/>
      <c r="K23" s="465"/>
    </row>
    <row r="24" spans="1:20" ht="17.25" customHeight="1" x14ac:dyDescent="0.25">
      <c r="A24" s="446" t="s">
        <v>18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</row>
    <row r="25" spans="1:20" ht="17.25" customHeight="1" x14ac:dyDescent="0.25">
      <c r="A25" s="446"/>
      <c r="B25" s="446"/>
      <c r="C25" s="446"/>
      <c r="D25" s="446"/>
      <c r="E25" s="446"/>
      <c r="F25" s="446"/>
      <c r="G25" s="446"/>
      <c r="H25" s="446"/>
      <c r="I25" s="446"/>
      <c r="J25" s="446"/>
      <c r="K25" s="81" t="s">
        <v>20</v>
      </c>
    </row>
    <row r="26" spans="1:20" ht="17.25" customHeight="1" x14ac:dyDescent="0.25">
      <c r="A26" s="78" t="s">
        <v>1</v>
      </c>
      <c r="B26" s="485" t="s">
        <v>21</v>
      </c>
      <c r="C26" s="485"/>
      <c r="D26" s="485"/>
      <c r="E26" s="485"/>
      <c r="F26" s="485"/>
      <c r="G26" s="485"/>
      <c r="H26" s="87">
        <v>220</v>
      </c>
      <c r="I26" s="452" t="s">
        <v>126</v>
      </c>
      <c r="J26" s="452"/>
      <c r="K26" s="83">
        <f>K18/220*H26</f>
        <v>1358.86</v>
      </c>
    </row>
    <row r="27" spans="1:20" ht="17.25" customHeight="1" x14ac:dyDescent="0.25">
      <c r="A27" s="78" t="s">
        <v>3</v>
      </c>
      <c r="B27" s="485" t="s">
        <v>98</v>
      </c>
      <c r="C27" s="485"/>
      <c r="D27" s="485"/>
      <c r="E27" s="485"/>
      <c r="F27" s="485"/>
      <c r="G27" s="485"/>
      <c r="H27" s="85">
        <v>0</v>
      </c>
      <c r="I27" s="452" t="s">
        <v>100</v>
      </c>
      <c r="J27" s="452"/>
      <c r="K27" s="89">
        <f>H27*K17</f>
        <v>0</v>
      </c>
      <c r="M27" s="23" t="s">
        <v>153</v>
      </c>
      <c r="N27" s="24"/>
      <c r="O27" s="24"/>
      <c r="P27" s="24"/>
      <c r="Q27" s="24"/>
      <c r="R27" s="24"/>
      <c r="S27" s="24"/>
      <c r="T27" s="25"/>
    </row>
    <row r="28" spans="1:20" ht="17.25" customHeight="1" x14ac:dyDescent="0.25">
      <c r="A28" s="78" t="s">
        <v>5</v>
      </c>
      <c r="B28" s="485" t="s">
        <v>99</v>
      </c>
      <c r="C28" s="485"/>
      <c r="D28" s="485"/>
      <c r="E28" s="485"/>
      <c r="F28" s="485"/>
      <c r="G28" s="485"/>
      <c r="H28" s="85"/>
      <c r="I28" s="452" t="s">
        <v>100</v>
      </c>
      <c r="J28" s="452"/>
      <c r="K28" s="89">
        <f>H28*K17</f>
        <v>0</v>
      </c>
      <c r="M28" s="23" t="s">
        <v>153</v>
      </c>
      <c r="N28" s="24"/>
      <c r="O28" s="24"/>
      <c r="P28" s="24"/>
      <c r="Q28" s="24"/>
      <c r="R28" s="24"/>
      <c r="S28" s="24"/>
      <c r="T28" s="25"/>
    </row>
    <row r="29" spans="1:20" ht="17.25" customHeight="1" x14ac:dyDescent="0.25">
      <c r="A29" s="78" t="s">
        <v>6</v>
      </c>
      <c r="B29" s="552" t="s">
        <v>101</v>
      </c>
      <c r="C29" s="553"/>
      <c r="D29" s="553"/>
      <c r="E29" s="553"/>
      <c r="F29" s="553"/>
      <c r="G29" s="554"/>
      <c r="H29" s="85"/>
      <c r="I29" s="452" t="s">
        <v>100</v>
      </c>
      <c r="J29" s="452"/>
      <c r="K29" s="89">
        <f>H29*K26</f>
        <v>0</v>
      </c>
    </row>
    <row r="30" spans="1:20" ht="17.25" customHeight="1" x14ac:dyDescent="0.25">
      <c r="A30" s="78" t="s">
        <v>102</v>
      </c>
      <c r="B30" s="552" t="s">
        <v>103</v>
      </c>
      <c r="C30" s="553"/>
      <c r="D30" s="553"/>
      <c r="E30" s="553"/>
      <c r="F30" s="553"/>
      <c r="G30" s="554"/>
      <c r="H30" s="85"/>
      <c r="I30" s="452" t="s">
        <v>100</v>
      </c>
      <c r="J30" s="452"/>
      <c r="K30" s="89">
        <f>H30*K26</f>
        <v>0</v>
      </c>
    </row>
    <row r="31" spans="1:20" ht="17.25" customHeight="1" x14ac:dyDescent="0.25">
      <c r="A31" s="452" t="s">
        <v>10</v>
      </c>
      <c r="B31" s="485" t="s">
        <v>140</v>
      </c>
      <c r="C31" s="485"/>
      <c r="D31" s="485"/>
      <c r="E31" s="485"/>
      <c r="F31" s="485"/>
      <c r="G31" s="555" t="s">
        <v>125</v>
      </c>
      <c r="H31" s="556" t="s">
        <v>123</v>
      </c>
      <c r="I31" s="555" t="s">
        <v>124</v>
      </c>
      <c r="J31" s="555"/>
      <c r="K31" s="499">
        <f>ROUND(I33*H33,2)</f>
        <v>0</v>
      </c>
      <c r="M31" s="455" t="s">
        <v>154</v>
      </c>
      <c r="N31" s="456"/>
      <c r="O31" s="456"/>
      <c r="P31" s="456"/>
      <c r="Q31" s="456"/>
      <c r="R31" s="456"/>
      <c r="S31" s="456"/>
      <c r="T31" s="457"/>
    </row>
    <row r="32" spans="1:20" ht="22.5" customHeight="1" x14ac:dyDescent="0.25">
      <c r="A32" s="452"/>
      <c r="B32" s="485"/>
      <c r="C32" s="485"/>
      <c r="D32" s="485"/>
      <c r="E32" s="485"/>
      <c r="F32" s="485"/>
      <c r="G32" s="555"/>
      <c r="H32" s="556"/>
      <c r="I32" s="555"/>
      <c r="J32" s="555"/>
      <c r="K32" s="499"/>
      <c r="M32" s="481"/>
      <c r="N32" s="482"/>
      <c r="O32" s="482"/>
      <c r="P32" s="482"/>
      <c r="Q32" s="482"/>
      <c r="R32" s="482"/>
      <c r="S32" s="482"/>
      <c r="T32" s="483"/>
    </row>
    <row r="33" spans="1:20" ht="17.25" customHeight="1" x14ac:dyDescent="0.25">
      <c r="A33" s="452"/>
      <c r="B33" s="485"/>
      <c r="C33" s="485"/>
      <c r="D33" s="485"/>
      <c r="E33" s="485"/>
      <c r="F33" s="485"/>
      <c r="G33" s="85"/>
      <c r="H33" s="87"/>
      <c r="I33" s="551">
        <f>(K26/H26)*(1+G33)</f>
        <v>6.176636363636363</v>
      </c>
      <c r="J33" s="551"/>
      <c r="K33" s="499"/>
      <c r="M33" s="458"/>
      <c r="N33" s="459"/>
      <c r="O33" s="459"/>
      <c r="P33" s="459"/>
      <c r="Q33" s="459"/>
      <c r="R33" s="459"/>
      <c r="S33" s="459"/>
      <c r="T33" s="460"/>
    </row>
    <row r="34" spans="1:20" ht="17.25" customHeight="1" x14ac:dyDescent="0.25">
      <c r="A34" s="78" t="s">
        <v>11</v>
      </c>
      <c r="B34" s="468" t="s">
        <v>22</v>
      </c>
      <c r="C34" s="468"/>
      <c r="D34" s="468"/>
      <c r="E34" s="468"/>
      <c r="F34" s="468"/>
      <c r="G34" s="468"/>
      <c r="H34" s="468"/>
      <c r="I34" s="468"/>
      <c r="J34" s="468"/>
      <c r="K34" s="89"/>
    </row>
    <row r="35" spans="1:20" ht="17.25" customHeight="1" x14ac:dyDescent="0.25">
      <c r="A35" s="446" t="s">
        <v>23</v>
      </c>
      <c r="B35" s="446"/>
      <c r="C35" s="446"/>
      <c r="D35" s="446"/>
      <c r="E35" s="446"/>
      <c r="F35" s="446"/>
      <c r="G35" s="446"/>
      <c r="H35" s="446"/>
      <c r="I35" s="446"/>
      <c r="J35" s="446"/>
      <c r="K35" s="11">
        <f>ROUND(SUM(K26:K34),2)</f>
        <v>1358.86</v>
      </c>
    </row>
    <row r="36" spans="1:20" ht="6.75" customHeight="1" x14ac:dyDescent="0.25">
      <c r="A36" s="465"/>
      <c r="B36" s="465"/>
      <c r="C36" s="465"/>
      <c r="D36" s="465"/>
      <c r="E36" s="465"/>
      <c r="F36" s="465"/>
      <c r="G36" s="465"/>
      <c r="H36" s="465"/>
      <c r="I36" s="465"/>
      <c r="J36" s="465"/>
      <c r="K36" s="465"/>
    </row>
    <row r="37" spans="1:20" ht="17.25" customHeight="1" x14ac:dyDescent="0.25">
      <c r="A37" s="446" t="s">
        <v>24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</row>
    <row r="38" spans="1:20" ht="17.25" customHeight="1" x14ac:dyDescent="0.25">
      <c r="A38" s="475" t="s">
        <v>121</v>
      </c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M38" s="26"/>
    </row>
    <row r="39" spans="1:20" s="2" customFormat="1" ht="17.25" customHeight="1" x14ac:dyDescent="0.25">
      <c r="A39" s="539"/>
      <c r="B39" s="539"/>
      <c r="C39" s="539"/>
      <c r="D39" s="539"/>
      <c r="E39" s="539"/>
      <c r="F39" s="539"/>
      <c r="G39" s="539"/>
      <c r="H39" s="539"/>
      <c r="I39" s="446" t="s">
        <v>25</v>
      </c>
      <c r="J39" s="446"/>
      <c r="K39" s="81" t="s">
        <v>20</v>
      </c>
      <c r="M39" s="22"/>
      <c r="N39" s="22"/>
      <c r="O39" s="22"/>
      <c r="P39" s="22"/>
      <c r="Q39" s="22"/>
      <c r="R39" s="22"/>
      <c r="S39" s="22"/>
      <c r="T39" s="22"/>
    </row>
    <row r="40" spans="1:20" ht="17.25" customHeight="1" x14ac:dyDescent="0.25">
      <c r="A40" s="78" t="s">
        <v>1</v>
      </c>
      <c r="B40" s="443" t="s">
        <v>122</v>
      </c>
      <c r="C40" s="443"/>
      <c r="D40" s="443"/>
      <c r="E40" s="443"/>
      <c r="F40" s="443"/>
      <c r="G40" s="443"/>
      <c r="H40" s="443"/>
      <c r="I40" s="549">
        <f>ROUND(1/12,4)</f>
        <v>8.3299999999999999E-2</v>
      </c>
      <c r="J40" s="549"/>
      <c r="K40" s="80">
        <f>ROUND(I40*$K$35,2)</f>
        <v>113.19</v>
      </c>
      <c r="M40" s="540" t="s">
        <v>108</v>
      </c>
      <c r="N40" s="541"/>
      <c r="O40" s="541"/>
      <c r="P40" s="541"/>
      <c r="Q40" s="541"/>
      <c r="R40" s="541"/>
      <c r="S40" s="541"/>
      <c r="T40" s="542"/>
    </row>
    <row r="41" spans="1:20" ht="17.25" customHeight="1" x14ac:dyDescent="0.25">
      <c r="A41" s="78" t="s">
        <v>3</v>
      </c>
      <c r="B41" s="485" t="s">
        <v>26</v>
      </c>
      <c r="C41" s="485"/>
      <c r="D41" s="485"/>
      <c r="E41" s="485"/>
      <c r="F41" s="485"/>
      <c r="G41" s="485"/>
      <c r="H41" s="485"/>
      <c r="I41" s="549">
        <f>ROUND(1/3/12,4)</f>
        <v>2.7799999999999998E-2</v>
      </c>
      <c r="J41" s="549"/>
      <c r="K41" s="80">
        <f>ROUND(I41*$K$35,2)</f>
        <v>37.78</v>
      </c>
      <c r="M41" s="543"/>
      <c r="N41" s="544"/>
      <c r="O41" s="544"/>
      <c r="P41" s="544"/>
      <c r="Q41" s="544"/>
      <c r="R41" s="544"/>
      <c r="S41" s="544"/>
      <c r="T41" s="545"/>
    </row>
    <row r="42" spans="1:20" ht="17.25" customHeight="1" x14ac:dyDescent="0.25">
      <c r="A42" s="20" t="s">
        <v>5</v>
      </c>
      <c r="B42" s="550" t="s">
        <v>141</v>
      </c>
      <c r="C42" s="550"/>
      <c r="D42" s="550"/>
      <c r="E42" s="550"/>
      <c r="F42" s="550"/>
      <c r="G42" s="550"/>
      <c r="H42" s="550"/>
      <c r="I42" s="528">
        <f>ROUND(1/12,4)</f>
        <v>8.3299999999999999E-2</v>
      </c>
      <c r="J42" s="528"/>
      <c r="K42" s="83">
        <f>ROUND(I42*$K$35,2)</f>
        <v>113.19</v>
      </c>
      <c r="M42" s="546"/>
      <c r="N42" s="547"/>
      <c r="O42" s="547"/>
      <c r="P42" s="547"/>
      <c r="Q42" s="547"/>
      <c r="R42" s="547"/>
      <c r="S42" s="547"/>
      <c r="T42" s="548"/>
    </row>
    <row r="43" spans="1:20" ht="17.25" customHeight="1" x14ac:dyDescent="0.25">
      <c r="A43" s="475" t="s">
        <v>27</v>
      </c>
      <c r="B43" s="475"/>
      <c r="C43" s="475"/>
      <c r="D43" s="475"/>
      <c r="E43" s="475"/>
      <c r="F43" s="475"/>
      <c r="G43" s="475"/>
      <c r="H43" s="475"/>
      <c r="I43" s="477">
        <f>SUM(I40:J42)</f>
        <v>0.19440000000000002</v>
      </c>
      <c r="J43" s="477"/>
      <c r="K43" s="12">
        <f>ROUND(SUM(K40:K42),2)</f>
        <v>264.16000000000003</v>
      </c>
    </row>
    <row r="44" spans="1:20" ht="6.75" customHeight="1" x14ac:dyDescent="0.25">
      <c r="A44" s="445"/>
      <c r="B44" s="445"/>
      <c r="C44" s="445"/>
      <c r="D44" s="445"/>
      <c r="E44" s="445"/>
      <c r="F44" s="445"/>
      <c r="G44" s="445"/>
      <c r="H44" s="445"/>
      <c r="I44" s="445"/>
      <c r="J44" s="445"/>
      <c r="K44" s="445"/>
    </row>
    <row r="45" spans="1:20" ht="17.25" customHeight="1" x14ac:dyDescent="0.25">
      <c r="A45" s="475" t="s">
        <v>28</v>
      </c>
      <c r="B45" s="475"/>
      <c r="C45" s="475"/>
      <c r="D45" s="475"/>
      <c r="E45" s="475"/>
      <c r="F45" s="475"/>
      <c r="G45" s="475"/>
      <c r="H45" s="475"/>
      <c r="I45" s="475"/>
      <c r="J45" s="475"/>
      <c r="K45" s="475"/>
    </row>
    <row r="46" spans="1:20" ht="17.25" customHeight="1" x14ac:dyDescent="0.25">
      <c r="A46" s="537" t="s">
        <v>68</v>
      </c>
      <c r="B46" s="537"/>
      <c r="C46" s="537"/>
      <c r="D46" s="537"/>
      <c r="E46" s="537"/>
      <c r="F46" s="537"/>
      <c r="G46" s="537"/>
      <c r="H46" s="537"/>
      <c r="I46" s="537"/>
      <c r="J46" s="537"/>
      <c r="K46" s="12">
        <f>K35</f>
        <v>1358.86</v>
      </c>
    </row>
    <row r="47" spans="1:20" ht="17.25" customHeight="1" x14ac:dyDescent="0.25">
      <c r="A47" s="538" t="s">
        <v>79</v>
      </c>
      <c r="B47" s="538"/>
      <c r="C47" s="538"/>
      <c r="D47" s="538"/>
      <c r="E47" s="538"/>
      <c r="F47" s="538"/>
      <c r="G47" s="538"/>
      <c r="H47" s="538"/>
      <c r="I47" s="538"/>
      <c r="J47" s="538"/>
      <c r="K47" s="12">
        <f>K43</f>
        <v>264.16000000000003</v>
      </c>
    </row>
    <row r="48" spans="1:20" ht="17.25" customHeight="1" x14ac:dyDescent="0.25">
      <c r="A48" s="538" t="s">
        <v>80</v>
      </c>
      <c r="B48" s="538"/>
      <c r="C48" s="538"/>
      <c r="D48" s="538"/>
      <c r="E48" s="538"/>
      <c r="F48" s="538"/>
      <c r="G48" s="538"/>
      <c r="H48" s="538"/>
      <c r="I48" s="538"/>
      <c r="J48" s="538"/>
      <c r="K48" s="12">
        <f>SUM(K46:K47)</f>
        <v>1623.02</v>
      </c>
    </row>
    <row r="49" spans="1:20" s="2" customFormat="1" ht="17.25" customHeight="1" x14ac:dyDescent="0.25">
      <c r="A49" s="539"/>
      <c r="B49" s="539"/>
      <c r="C49" s="539"/>
      <c r="D49" s="539"/>
      <c r="E49" s="539"/>
      <c r="F49" s="539"/>
      <c r="G49" s="539"/>
      <c r="H49" s="539"/>
      <c r="I49" s="446" t="s">
        <v>25</v>
      </c>
      <c r="J49" s="446"/>
      <c r="K49" s="81" t="s">
        <v>20</v>
      </c>
      <c r="M49" s="71"/>
      <c r="N49" s="71"/>
      <c r="O49" s="71"/>
      <c r="P49" s="71"/>
      <c r="Q49" s="71"/>
      <c r="R49" s="71"/>
      <c r="S49" s="22"/>
      <c r="T49" s="22"/>
    </row>
    <row r="50" spans="1:20" ht="17.25" customHeight="1" x14ac:dyDescent="0.25">
      <c r="A50" s="78" t="s">
        <v>1</v>
      </c>
      <c r="B50" s="443" t="s">
        <v>144</v>
      </c>
      <c r="C50" s="443"/>
      <c r="D50" s="443"/>
      <c r="E50" s="443"/>
      <c r="F50" s="443"/>
      <c r="G50" s="443"/>
      <c r="H50" s="443"/>
      <c r="I50" s="528">
        <v>0.2</v>
      </c>
      <c r="J50" s="528"/>
      <c r="K50" s="80">
        <f>ROUND(I50*$K$48,2)</f>
        <v>324.60000000000002</v>
      </c>
    </row>
    <row r="51" spans="1:20" ht="17.25" customHeight="1" x14ac:dyDescent="0.25">
      <c r="A51" s="78" t="s">
        <v>3</v>
      </c>
      <c r="B51" s="443" t="s">
        <v>145</v>
      </c>
      <c r="C51" s="443"/>
      <c r="D51" s="443"/>
      <c r="E51" s="443"/>
      <c r="F51" s="443"/>
      <c r="G51" s="443"/>
      <c r="H51" s="443"/>
      <c r="I51" s="528">
        <v>2.5000000000000001E-2</v>
      </c>
      <c r="J51" s="528"/>
      <c r="K51" s="80">
        <f t="shared" ref="K51:K58" si="0">ROUND(I51*$K$48,2)</f>
        <v>40.58</v>
      </c>
    </row>
    <row r="52" spans="1:20" ht="17.25" customHeight="1" x14ac:dyDescent="0.25">
      <c r="A52" s="498" t="s">
        <v>5</v>
      </c>
      <c r="B52" s="535" t="s">
        <v>146</v>
      </c>
      <c r="C52" s="535"/>
      <c r="D52" s="535"/>
      <c r="E52" s="535"/>
      <c r="F52" s="535"/>
      <c r="G52" s="21" t="s">
        <v>118</v>
      </c>
      <c r="H52" s="21" t="s">
        <v>119</v>
      </c>
      <c r="I52" s="536">
        <f>(G53*H53)*100</f>
        <v>0.06</v>
      </c>
      <c r="J52" s="536"/>
      <c r="K52" s="497">
        <f t="shared" si="0"/>
        <v>97.38</v>
      </c>
      <c r="M52" s="529" t="s">
        <v>152</v>
      </c>
      <c r="N52" s="530"/>
      <c r="O52" s="530"/>
      <c r="P52" s="530"/>
      <c r="Q52" s="530"/>
      <c r="R52" s="530"/>
      <c r="S52" s="530"/>
      <c r="T52" s="531"/>
    </row>
    <row r="53" spans="1:20" ht="17.25" customHeight="1" x14ac:dyDescent="0.25">
      <c r="A53" s="498"/>
      <c r="B53" s="535"/>
      <c r="C53" s="535"/>
      <c r="D53" s="535"/>
      <c r="E53" s="535"/>
      <c r="F53" s="535"/>
      <c r="G53" s="88">
        <v>0.03</v>
      </c>
      <c r="H53" s="88">
        <v>0.02</v>
      </c>
      <c r="I53" s="536"/>
      <c r="J53" s="536"/>
      <c r="K53" s="497"/>
      <c r="M53" s="532"/>
      <c r="N53" s="533"/>
      <c r="O53" s="533"/>
      <c r="P53" s="533"/>
      <c r="Q53" s="533"/>
      <c r="R53" s="533"/>
      <c r="S53" s="533"/>
      <c r="T53" s="534"/>
    </row>
    <row r="54" spans="1:20" ht="17.25" customHeight="1" x14ac:dyDescent="0.25">
      <c r="A54" s="78" t="s">
        <v>6</v>
      </c>
      <c r="B54" s="443" t="s">
        <v>147</v>
      </c>
      <c r="C54" s="443"/>
      <c r="D54" s="443"/>
      <c r="E54" s="443"/>
      <c r="F54" s="443"/>
      <c r="G54" s="443"/>
      <c r="H54" s="443"/>
      <c r="I54" s="528">
        <v>1.4999999999999999E-2</v>
      </c>
      <c r="J54" s="528"/>
      <c r="K54" s="80">
        <f t="shared" si="0"/>
        <v>24.35</v>
      </c>
    </row>
    <row r="55" spans="1:20" ht="17.25" customHeight="1" x14ac:dyDescent="0.25">
      <c r="A55" s="78" t="s">
        <v>8</v>
      </c>
      <c r="B55" s="443" t="s">
        <v>148</v>
      </c>
      <c r="C55" s="443"/>
      <c r="D55" s="443"/>
      <c r="E55" s="443"/>
      <c r="F55" s="443"/>
      <c r="G55" s="443"/>
      <c r="H55" s="443"/>
      <c r="I55" s="528">
        <v>0.01</v>
      </c>
      <c r="J55" s="528"/>
      <c r="K55" s="80">
        <f t="shared" si="0"/>
        <v>16.23</v>
      </c>
    </row>
    <row r="56" spans="1:20" ht="17.25" customHeight="1" x14ac:dyDescent="0.25">
      <c r="A56" s="78" t="s">
        <v>10</v>
      </c>
      <c r="B56" s="443" t="s">
        <v>149</v>
      </c>
      <c r="C56" s="443"/>
      <c r="D56" s="443"/>
      <c r="E56" s="443"/>
      <c r="F56" s="443"/>
      <c r="G56" s="443"/>
      <c r="H56" s="443"/>
      <c r="I56" s="528">
        <v>6.0000000000000001E-3</v>
      </c>
      <c r="J56" s="528"/>
      <c r="K56" s="80">
        <f t="shared" si="0"/>
        <v>9.74</v>
      </c>
    </row>
    <row r="57" spans="1:20" ht="17.25" customHeight="1" x14ac:dyDescent="0.25">
      <c r="A57" s="78" t="s">
        <v>11</v>
      </c>
      <c r="B57" s="443" t="s">
        <v>150</v>
      </c>
      <c r="C57" s="443"/>
      <c r="D57" s="443"/>
      <c r="E57" s="443"/>
      <c r="F57" s="443"/>
      <c r="G57" s="443"/>
      <c r="H57" s="443"/>
      <c r="I57" s="528">
        <v>2E-3</v>
      </c>
      <c r="J57" s="528"/>
      <c r="K57" s="80">
        <f t="shared" si="0"/>
        <v>3.25</v>
      </c>
    </row>
    <row r="58" spans="1:20" ht="17.25" customHeight="1" x14ac:dyDescent="0.25">
      <c r="A58" s="78" t="s">
        <v>12</v>
      </c>
      <c r="B58" s="443" t="s">
        <v>151</v>
      </c>
      <c r="C58" s="443"/>
      <c r="D58" s="443"/>
      <c r="E58" s="443"/>
      <c r="F58" s="443"/>
      <c r="G58" s="443"/>
      <c r="H58" s="443"/>
      <c r="I58" s="528">
        <v>0.08</v>
      </c>
      <c r="J58" s="528"/>
      <c r="K58" s="80">
        <f t="shared" si="0"/>
        <v>129.84</v>
      </c>
    </row>
    <row r="59" spans="1:20" ht="17.25" customHeight="1" x14ac:dyDescent="0.25">
      <c r="A59" s="475" t="s">
        <v>29</v>
      </c>
      <c r="B59" s="475"/>
      <c r="C59" s="475"/>
      <c r="D59" s="475"/>
      <c r="E59" s="475"/>
      <c r="F59" s="475"/>
      <c r="G59" s="475"/>
      <c r="H59" s="475"/>
      <c r="I59" s="477">
        <f>SUM(I50:J58)</f>
        <v>0.39800000000000008</v>
      </c>
      <c r="J59" s="477"/>
      <c r="K59" s="12">
        <f>ROUND(SUM(K50:K58),2)</f>
        <v>645.97</v>
      </c>
    </row>
    <row r="60" spans="1:20" ht="5.25" customHeight="1" x14ac:dyDescent="0.25">
      <c r="A60" s="521"/>
      <c r="B60" s="521"/>
      <c r="C60" s="521"/>
      <c r="D60" s="521"/>
      <c r="E60" s="521"/>
      <c r="F60" s="521"/>
      <c r="G60" s="521"/>
      <c r="H60" s="521"/>
      <c r="I60" s="521"/>
      <c r="J60" s="521"/>
      <c r="K60" s="521"/>
    </row>
    <row r="61" spans="1:20" ht="17.25" customHeight="1" x14ac:dyDescent="0.25">
      <c r="A61" s="475" t="s">
        <v>30</v>
      </c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M61" s="522" t="s">
        <v>155</v>
      </c>
      <c r="N61" s="523"/>
      <c r="O61" s="523"/>
      <c r="P61" s="523"/>
      <c r="Q61" s="523"/>
      <c r="R61" s="523"/>
      <c r="S61" s="523"/>
      <c r="T61" s="524"/>
    </row>
    <row r="62" spans="1:20" ht="17.25" customHeight="1" x14ac:dyDescent="0.25">
      <c r="A62" s="466"/>
      <c r="B62" s="466"/>
      <c r="C62" s="466"/>
      <c r="D62" s="466"/>
      <c r="E62" s="466"/>
      <c r="F62" s="466"/>
      <c r="G62" s="466"/>
      <c r="H62" s="466"/>
      <c r="I62" s="466"/>
      <c r="J62" s="466"/>
      <c r="K62" s="81" t="s">
        <v>20</v>
      </c>
      <c r="M62" s="525"/>
      <c r="N62" s="526"/>
      <c r="O62" s="526"/>
      <c r="P62" s="526"/>
      <c r="Q62" s="526"/>
      <c r="R62" s="526"/>
      <c r="S62" s="526"/>
      <c r="T62" s="527"/>
    </row>
    <row r="63" spans="1:20" ht="17.25" customHeight="1" x14ac:dyDescent="0.25">
      <c r="A63" s="452" t="s">
        <v>1</v>
      </c>
      <c r="B63" s="518" t="s">
        <v>128</v>
      </c>
      <c r="C63" s="519"/>
      <c r="D63" s="519"/>
      <c r="E63" s="519"/>
      <c r="F63" s="520"/>
      <c r="G63" s="494" t="s">
        <v>215</v>
      </c>
      <c r="H63" s="495"/>
      <c r="I63" s="495"/>
      <c r="J63" s="496"/>
      <c r="K63" s="454">
        <f>ROUND((B65*E65*F65)-G65,2)</f>
        <v>74.67</v>
      </c>
    </row>
    <row r="64" spans="1:20" ht="17.25" customHeight="1" x14ac:dyDescent="0.25">
      <c r="A64" s="452"/>
      <c r="B64" s="506" t="s">
        <v>34</v>
      </c>
      <c r="C64" s="506"/>
      <c r="D64" s="506"/>
      <c r="E64" s="78" t="s">
        <v>32</v>
      </c>
      <c r="F64" s="82" t="s">
        <v>35</v>
      </c>
      <c r="G64" s="506" t="s">
        <v>139</v>
      </c>
      <c r="H64" s="506"/>
      <c r="I64" s="506"/>
      <c r="J64" s="506"/>
      <c r="K64" s="454"/>
    </row>
    <row r="65" spans="1:20" ht="17.25" customHeight="1" x14ac:dyDescent="0.25">
      <c r="A65" s="452"/>
      <c r="B65" s="461">
        <v>2</v>
      </c>
      <c r="C65" s="461"/>
      <c r="D65" s="461"/>
      <c r="E65" s="70">
        <v>22</v>
      </c>
      <c r="F65" s="89">
        <v>3.55</v>
      </c>
      <c r="G65" s="454">
        <f>0.06*K26</f>
        <v>81.531599999999997</v>
      </c>
      <c r="H65" s="454"/>
      <c r="I65" s="454"/>
      <c r="J65" s="454"/>
      <c r="K65" s="454"/>
    </row>
    <row r="66" spans="1:20" ht="17.25" customHeight="1" x14ac:dyDescent="0.25">
      <c r="A66" s="452" t="s">
        <v>3</v>
      </c>
      <c r="B66" s="491" t="s">
        <v>81</v>
      </c>
      <c r="C66" s="492"/>
      <c r="D66" s="492"/>
      <c r="E66" s="492"/>
      <c r="F66" s="493"/>
      <c r="G66" s="494" t="s">
        <v>164</v>
      </c>
      <c r="H66" s="495"/>
      <c r="I66" s="495"/>
      <c r="J66" s="496"/>
      <c r="K66" s="454">
        <f>ROUND((B68-G68)*F68,2)</f>
        <v>347.6</v>
      </c>
      <c r="M66" s="509" t="s">
        <v>132</v>
      </c>
      <c r="N66" s="510"/>
      <c r="O66" s="510"/>
      <c r="P66" s="510"/>
      <c r="Q66" s="510"/>
      <c r="R66" s="510"/>
      <c r="S66" s="510"/>
      <c r="T66" s="511"/>
    </row>
    <row r="67" spans="1:20" ht="17.25" customHeight="1" x14ac:dyDescent="0.25">
      <c r="A67" s="452"/>
      <c r="B67" s="452" t="s">
        <v>82</v>
      </c>
      <c r="C67" s="452"/>
      <c r="D67" s="452"/>
      <c r="E67" s="452"/>
      <c r="F67" s="78" t="s">
        <v>32</v>
      </c>
      <c r="G67" s="452" t="s">
        <v>131</v>
      </c>
      <c r="H67" s="452"/>
      <c r="I67" s="452"/>
      <c r="J67" s="452"/>
      <c r="K67" s="454"/>
      <c r="M67" s="512"/>
      <c r="N67" s="513"/>
      <c r="O67" s="513"/>
      <c r="P67" s="513"/>
      <c r="Q67" s="513"/>
      <c r="R67" s="513"/>
      <c r="S67" s="513"/>
      <c r="T67" s="514"/>
    </row>
    <row r="68" spans="1:20" ht="17.25" customHeight="1" x14ac:dyDescent="0.25">
      <c r="A68" s="452"/>
      <c r="B68" s="499">
        <v>15.93</v>
      </c>
      <c r="C68" s="499"/>
      <c r="D68" s="499"/>
      <c r="E68" s="499"/>
      <c r="F68" s="40">
        <f>E65</f>
        <v>22</v>
      </c>
      <c r="G68" s="497">
        <v>0.13</v>
      </c>
      <c r="H68" s="497"/>
      <c r="I68" s="497"/>
      <c r="J68" s="497"/>
      <c r="K68" s="454"/>
      <c r="M68" s="515"/>
      <c r="N68" s="516"/>
      <c r="O68" s="516"/>
      <c r="P68" s="516"/>
      <c r="Q68" s="516"/>
      <c r="R68" s="516"/>
      <c r="S68" s="516"/>
      <c r="T68" s="517"/>
    </row>
    <row r="69" spans="1:20" ht="17.25" customHeight="1" x14ac:dyDescent="0.25">
      <c r="A69" s="452" t="s">
        <v>5</v>
      </c>
      <c r="B69" s="491" t="s">
        <v>31</v>
      </c>
      <c r="C69" s="492"/>
      <c r="D69" s="492"/>
      <c r="E69" s="492"/>
      <c r="F69" s="493"/>
      <c r="G69" s="494" t="s">
        <v>164</v>
      </c>
      <c r="H69" s="495"/>
      <c r="I69" s="495"/>
      <c r="J69" s="496"/>
      <c r="K69" s="80"/>
    </row>
    <row r="70" spans="1:20" ht="17.25" customHeight="1" x14ac:dyDescent="0.25">
      <c r="A70" s="452"/>
      <c r="B70" s="452" t="s">
        <v>82</v>
      </c>
      <c r="C70" s="452"/>
      <c r="D70" s="452"/>
      <c r="E70" s="452"/>
      <c r="F70" s="452"/>
      <c r="G70" s="452" t="s">
        <v>33</v>
      </c>
      <c r="H70" s="452"/>
      <c r="I70" s="452"/>
      <c r="J70" s="452"/>
      <c r="K70" s="454">
        <f>B71</f>
        <v>110.94</v>
      </c>
    </row>
    <row r="71" spans="1:20" ht="17.25" customHeight="1" x14ac:dyDescent="0.25">
      <c r="A71" s="452"/>
      <c r="B71" s="490">
        <v>110.94</v>
      </c>
      <c r="C71" s="490"/>
      <c r="D71" s="490"/>
      <c r="E71" s="490"/>
      <c r="F71" s="490"/>
      <c r="G71" s="490">
        <v>0</v>
      </c>
      <c r="H71" s="490"/>
      <c r="I71" s="490"/>
      <c r="J71" s="490"/>
      <c r="K71" s="454"/>
    </row>
    <row r="72" spans="1:20" ht="17.25" customHeight="1" x14ac:dyDescent="0.25">
      <c r="A72" s="452" t="s">
        <v>6</v>
      </c>
      <c r="B72" s="491" t="s">
        <v>165</v>
      </c>
      <c r="C72" s="492"/>
      <c r="D72" s="492"/>
      <c r="E72" s="492"/>
      <c r="F72" s="493"/>
      <c r="G72" s="494" t="s">
        <v>164</v>
      </c>
      <c r="H72" s="495"/>
      <c r="I72" s="495"/>
      <c r="J72" s="496"/>
      <c r="K72" s="497">
        <f>B74-G74</f>
        <v>28</v>
      </c>
    </row>
    <row r="73" spans="1:20" ht="17.25" customHeight="1" x14ac:dyDescent="0.25">
      <c r="A73" s="452"/>
      <c r="B73" s="498" t="s">
        <v>166</v>
      </c>
      <c r="C73" s="498"/>
      <c r="D73" s="498"/>
      <c r="E73" s="498"/>
      <c r="F73" s="498"/>
      <c r="G73" s="452" t="s">
        <v>33</v>
      </c>
      <c r="H73" s="452"/>
      <c r="I73" s="452"/>
      <c r="J73" s="452"/>
      <c r="K73" s="497"/>
    </row>
    <row r="74" spans="1:20" ht="17.25" customHeight="1" x14ac:dyDescent="0.25">
      <c r="A74" s="452"/>
      <c r="B74" s="499">
        <v>28</v>
      </c>
      <c r="C74" s="499"/>
      <c r="D74" s="499"/>
      <c r="E74" s="499"/>
      <c r="F74" s="499"/>
      <c r="G74" s="499">
        <v>0</v>
      </c>
      <c r="H74" s="499"/>
      <c r="I74" s="499"/>
      <c r="J74" s="499"/>
      <c r="K74" s="497"/>
    </row>
    <row r="75" spans="1:20" ht="17.25" customHeight="1" x14ac:dyDescent="0.25">
      <c r="A75" s="452" t="s">
        <v>8</v>
      </c>
      <c r="B75" s="491" t="s">
        <v>129</v>
      </c>
      <c r="C75" s="492"/>
      <c r="D75" s="492"/>
      <c r="E75" s="492"/>
      <c r="F75" s="493"/>
      <c r="G75" s="494" t="s">
        <v>216</v>
      </c>
      <c r="H75" s="495"/>
      <c r="I75" s="495"/>
      <c r="J75" s="496"/>
      <c r="K75" s="497">
        <f>F77*G77</f>
        <v>0.12468</v>
      </c>
      <c r="M75" s="500" t="s">
        <v>136</v>
      </c>
      <c r="N75" s="501"/>
      <c r="O75" s="501"/>
      <c r="P75" s="501"/>
      <c r="Q75" s="501"/>
      <c r="R75" s="501"/>
      <c r="S75" s="501"/>
      <c r="T75" s="502"/>
    </row>
    <row r="76" spans="1:20" ht="17.25" customHeight="1" x14ac:dyDescent="0.25">
      <c r="A76" s="452"/>
      <c r="B76" s="498" t="s">
        <v>133</v>
      </c>
      <c r="C76" s="498"/>
      <c r="D76" s="498"/>
      <c r="E76" s="498"/>
      <c r="F76" s="77" t="s">
        <v>134</v>
      </c>
      <c r="G76" s="506" t="s">
        <v>135</v>
      </c>
      <c r="H76" s="506"/>
      <c r="I76" s="506"/>
      <c r="J76" s="506"/>
      <c r="K76" s="497"/>
      <c r="M76" s="503"/>
      <c r="N76" s="504"/>
      <c r="O76" s="504"/>
      <c r="P76" s="504"/>
      <c r="Q76" s="504"/>
      <c r="R76" s="504"/>
      <c r="S76" s="504"/>
      <c r="T76" s="505"/>
    </row>
    <row r="77" spans="1:20" ht="17.25" customHeight="1" x14ac:dyDescent="0.25">
      <c r="A77" s="452"/>
      <c r="B77" s="507">
        <f>K17</f>
        <v>1039</v>
      </c>
      <c r="C77" s="507"/>
      <c r="D77" s="507"/>
      <c r="E77" s="507"/>
      <c r="F77" s="76">
        <f>B77*0.2</f>
        <v>207.8</v>
      </c>
      <c r="G77" s="508">
        <v>5.9999999999999995E-4</v>
      </c>
      <c r="H77" s="508"/>
      <c r="I77" s="508"/>
      <c r="J77" s="508"/>
      <c r="K77" s="497"/>
      <c r="M77" s="503"/>
      <c r="N77" s="504"/>
      <c r="O77" s="504"/>
      <c r="P77" s="504"/>
      <c r="Q77" s="504"/>
      <c r="R77" s="504"/>
      <c r="S77" s="504"/>
      <c r="T77" s="505"/>
    </row>
    <row r="78" spans="1:20" ht="17.25" customHeight="1" x14ac:dyDescent="0.25">
      <c r="A78" s="452" t="s">
        <v>10</v>
      </c>
      <c r="B78" s="491" t="s">
        <v>130</v>
      </c>
      <c r="C78" s="492"/>
      <c r="D78" s="492"/>
      <c r="E78" s="492"/>
      <c r="F78" s="493"/>
      <c r="G78" s="494" t="s">
        <v>217</v>
      </c>
      <c r="H78" s="495"/>
      <c r="I78" s="495"/>
      <c r="J78" s="496"/>
      <c r="K78" s="497">
        <f>F80-G80</f>
        <v>3.3180000000000005</v>
      </c>
      <c r="M78" s="27"/>
      <c r="N78" s="27"/>
      <c r="O78" s="27"/>
      <c r="P78" s="27"/>
      <c r="Q78" s="27"/>
      <c r="R78" s="27"/>
      <c r="S78" s="27"/>
      <c r="T78" s="27"/>
    </row>
    <row r="79" spans="1:20" ht="17.25" customHeight="1" x14ac:dyDescent="0.25">
      <c r="A79" s="452"/>
      <c r="B79" s="498" t="s">
        <v>137</v>
      </c>
      <c r="C79" s="498"/>
      <c r="D79" s="498"/>
      <c r="E79" s="498"/>
      <c r="F79" s="77" t="s">
        <v>138</v>
      </c>
      <c r="G79" s="452" t="s">
        <v>33</v>
      </c>
      <c r="H79" s="452"/>
      <c r="I79" s="452"/>
      <c r="J79" s="452"/>
      <c r="K79" s="497"/>
    </row>
    <row r="80" spans="1:20" ht="17.25" customHeight="1" x14ac:dyDescent="0.25">
      <c r="A80" s="452"/>
      <c r="B80" s="499">
        <v>44.24</v>
      </c>
      <c r="C80" s="499"/>
      <c r="D80" s="499"/>
      <c r="E80" s="499"/>
      <c r="F80" s="76">
        <f>B80/12</f>
        <v>3.686666666666667</v>
      </c>
      <c r="G80" s="499">
        <f>F80*0.1</f>
        <v>0.3686666666666667</v>
      </c>
      <c r="H80" s="499"/>
      <c r="I80" s="499"/>
      <c r="J80" s="499"/>
      <c r="K80" s="497"/>
    </row>
    <row r="81" spans="1:20" ht="17.25" customHeight="1" x14ac:dyDescent="0.25">
      <c r="A81" s="452" t="s">
        <v>11</v>
      </c>
      <c r="B81" s="491" t="s">
        <v>167</v>
      </c>
      <c r="C81" s="492"/>
      <c r="D81" s="492"/>
      <c r="E81" s="492"/>
      <c r="F81" s="493"/>
      <c r="G81" s="494" t="s">
        <v>218</v>
      </c>
      <c r="H81" s="495"/>
      <c r="I81" s="495"/>
      <c r="J81" s="496"/>
      <c r="K81" s="497">
        <f>B83-G83</f>
        <v>9.74</v>
      </c>
    </row>
    <row r="82" spans="1:20" ht="17.25" customHeight="1" x14ac:dyDescent="0.25">
      <c r="A82" s="452"/>
      <c r="B82" s="498" t="s">
        <v>166</v>
      </c>
      <c r="C82" s="498"/>
      <c r="D82" s="498"/>
      <c r="E82" s="498"/>
      <c r="F82" s="498"/>
      <c r="G82" s="452" t="s">
        <v>33</v>
      </c>
      <c r="H82" s="452"/>
      <c r="I82" s="452"/>
      <c r="J82" s="452"/>
      <c r="K82" s="497"/>
    </row>
    <row r="83" spans="1:20" ht="17.25" customHeight="1" x14ac:dyDescent="0.25">
      <c r="A83" s="452"/>
      <c r="B83" s="499">
        <v>9.74</v>
      </c>
      <c r="C83" s="499"/>
      <c r="D83" s="499"/>
      <c r="E83" s="499"/>
      <c r="F83" s="499"/>
      <c r="G83" s="499">
        <v>0</v>
      </c>
      <c r="H83" s="499"/>
      <c r="I83" s="499"/>
      <c r="J83" s="499"/>
      <c r="K83" s="497"/>
    </row>
    <row r="84" spans="1:20" ht="17.25" customHeight="1" x14ac:dyDescent="0.25">
      <c r="A84" s="452" t="s">
        <v>12</v>
      </c>
      <c r="B84" s="491" t="s">
        <v>168</v>
      </c>
      <c r="C84" s="492"/>
      <c r="D84" s="492"/>
      <c r="E84" s="492"/>
      <c r="F84" s="493"/>
      <c r="G84" s="494" t="s">
        <v>218</v>
      </c>
      <c r="H84" s="495"/>
      <c r="I84" s="495"/>
      <c r="J84" s="496"/>
      <c r="K84" s="497">
        <f>B86-G86</f>
        <v>3.93</v>
      </c>
    </row>
    <row r="85" spans="1:20" ht="17.25" customHeight="1" x14ac:dyDescent="0.25">
      <c r="A85" s="452"/>
      <c r="B85" s="498" t="s">
        <v>166</v>
      </c>
      <c r="C85" s="498"/>
      <c r="D85" s="498"/>
      <c r="E85" s="498"/>
      <c r="F85" s="498"/>
      <c r="G85" s="452" t="s">
        <v>33</v>
      </c>
      <c r="H85" s="452"/>
      <c r="I85" s="452"/>
      <c r="J85" s="452"/>
      <c r="K85" s="497"/>
    </row>
    <row r="86" spans="1:20" ht="17.25" customHeight="1" x14ac:dyDescent="0.25">
      <c r="A86" s="452"/>
      <c r="B86" s="499">
        <v>3.93</v>
      </c>
      <c r="C86" s="499"/>
      <c r="D86" s="499"/>
      <c r="E86" s="499"/>
      <c r="F86" s="499"/>
      <c r="G86" s="499">
        <v>0</v>
      </c>
      <c r="H86" s="499"/>
      <c r="I86" s="499"/>
      <c r="J86" s="499"/>
      <c r="K86" s="497"/>
    </row>
    <row r="87" spans="1:20" ht="17.25" customHeight="1" x14ac:dyDescent="0.25">
      <c r="A87" s="78" t="s">
        <v>14</v>
      </c>
      <c r="B87" s="490" t="s">
        <v>83</v>
      </c>
      <c r="C87" s="490"/>
      <c r="D87" s="490"/>
      <c r="E87" s="490"/>
      <c r="F87" s="490"/>
      <c r="G87" s="490"/>
      <c r="H87" s="490"/>
      <c r="I87" s="490"/>
      <c r="J87" s="490"/>
      <c r="K87" s="89"/>
    </row>
    <row r="88" spans="1:20" ht="17.25" customHeight="1" x14ac:dyDescent="0.25">
      <c r="A88" s="475" t="s">
        <v>36</v>
      </c>
      <c r="B88" s="475"/>
      <c r="C88" s="475"/>
      <c r="D88" s="475"/>
      <c r="E88" s="475"/>
      <c r="F88" s="475"/>
      <c r="G88" s="475"/>
      <c r="H88" s="475"/>
      <c r="I88" s="475"/>
      <c r="J88" s="475"/>
      <c r="K88" s="12">
        <f>ROUND(SUM(K62:K87),2)</f>
        <v>578.32000000000005</v>
      </c>
    </row>
    <row r="89" spans="1:20" ht="17.25" customHeight="1" x14ac:dyDescent="0.25">
      <c r="A89" s="446" t="s">
        <v>37</v>
      </c>
      <c r="B89" s="446"/>
      <c r="C89" s="446"/>
      <c r="D89" s="446"/>
      <c r="E89" s="446"/>
      <c r="F89" s="446"/>
      <c r="G89" s="446"/>
      <c r="H89" s="446"/>
      <c r="I89" s="446"/>
      <c r="J89" s="446"/>
      <c r="K89" s="11">
        <f>ROUND(SUM(K88,K59,K43),2)</f>
        <v>1488.45</v>
      </c>
    </row>
    <row r="90" spans="1:20" ht="6.75" customHeight="1" x14ac:dyDescent="0.25">
      <c r="A90" s="465"/>
      <c r="B90" s="465"/>
      <c r="C90" s="465"/>
      <c r="D90" s="465"/>
      <c r="E90" s="465"/>
      <c r="F90" s="465"/>
      <c r="G90" s="465"/>
      <c r="H90" s="465"/>
      <c r="I90" s="465"/>
      <c r="J90" s="465"/>
      <c r="K90" s="465"/>
    </row>
    <row r="91" spans="1:20" ht="17.25" customHeight="1" x14ac:dyDescent="0.25">
      <c r="A91" s="446" t="s">
        <v>38</v>
      </c>
      <c r="B91" s="446"/>
      <c r="C91" s="446"/>
      <c r="D91" s="446"/>
      <c r="E91" s="446"/>
      <c r="F91" s="446"/>
      <c r="G91" s="446"/>
      <c r="H91" s="446"/>
      <c r="I91" s="446"/>
      <c r="J91" s="446"/>
      <c r="K91" s="446"/>
      <c r="M91" s="455" t="s">
        <v>109</v>
      </c>
      <c r="N91" s="456"/>
      <c r="O91" s="456"/>
      <c r="P91" s="456"/>
      <c r="Q91" s="456"/>
      <c r="R91" s="456"/>
      <c r="S91" s="456"/>
      <c r="T91" s="457"/>
    </row>
    <row r="92" spans="1:20" ht="17.25" customHeight="1" x14ac:dyDescent="0.25">
      <c r="A92" s="488" t="s">
        <v>68</v>
      </c>
      <c r="B92" s="488"/>
      <c r="C92" s="488"/>
      <c r="D92" s="488"/>
      <c r="E92" s="488"/>
      <c r="F92" s="488"/>
      <c r="G92" s="488"/>
      <c r="H92" s="488"/>
      <c r="I92" s="488"/>
      <c r="J92" s="488"/>
      <c r="K92" s="11">
        <f>K35</f>
        <v>1358.86</v>
      </c>
      <c r="M92" s="458"/>
      <c r="N92" s="459"/>
      <c r="O92" s="459"/>
      <c r="P92" s="459"/>
      <c r="Q92" s="459"/>
      <c r="R92" s="459"/>
      <c r="S92" s="459"/>
      <c r="T92" s="460"/>
    </row>
    <row r="93" spans="1:20" ht="17.25" customHeight="1" x14ac:dyDescent="0.25">
      <c r="A93" s="488" t="s">
        <v>79</v>
      </c>
      <c r="B93" s="488"/>
      <c r="C93" s="488"/>
      <c r="D93" s="488"/>
      <c r="E93" s="488"/>
      <c r="F93" s="488"/>
      <c r="G93" s="488"/>
      <c r="H93" s="488"/>
      <c r="I93" s="488"/>
      <c r="J93" s="488"/>
      <c r="K93" s="11">
        <f>K43</f>
        <v>264.16000000000003</v>
      </c>
      <c r="M93" s="455" t="s">
        <v>110</v>
      </c>
      <c r="N93" s="456"/>
      <c r="O93" s="456"/>
      <c r="P93" s="456"/>
      <c r="Q93" s="456"/>
      <c r="R93" s="456"/>
      <c r="S93" s="456"/>
      <c r="T93" s="457"/>
    </row>
    <row r="94" spans="1:20" ht="17.25" customHeight="1" x14ac:dyDescent="0.25">
      <c r="A94" s="488" t="s">
        <v>80</v>
      </c>
      <c r="B94" s="488"/>
      <c r="C94" s="488"/>
      <c r="D94" s="488"/>
      <c r="E94" s="488"/>
      <c r="F94" s="488"/>
      <c r="G94" s="488"/>
      <c r="H94" s="488"/>
      <c r="I94" s="488"/>
      <c r="J94" s="488"/>
      <c r="K94" s="11">
        <f>SUM(K92:K93)</f>
        <v>1623.02</v>
      </c>
      <c r="M94" s="458"/>
      <c r="N94" s="459"/>
      <c r="O94" s="459"/>
      <c r="P94" s="459"/>
      <c r="Q94" s="459"/>
      <c r="R94" s="459"/>
      <c r="S94" s="459"/>
      <c r="T94" s="460"/>
    </row>
    <row r="95" spans="1:20" ht="17.25" customHeight="1" x14ac:dyDescent="0.25">
      <c r="A95" s="466"/>
      <c r="B95" s="466"/>
      <c r="C95" s="466"/>
      <c r="D95" s="466"/>
      <c r="E95" s="466"/>
      <c r="F95" s="466"/>
      <c r="G95" s="466"/>
      <c r="H95" s="446" t="s">
        <v>19</v>
      </c>
      <c r="I95" s="446"/>
      <c r="J95" s="446"/>
      <c r="K95" s="81" t="s">
        <v>20</v>
      </c>
      <c r="M95" s="455" t="s">
        <v>243</v>
      </c>
      <c r="N95" s="456"/>
      <c r="O95" s="456"/>
      <c r="P95" s="456"/>
      <c r="Q95" s="456"/>
      <c r="R95" s="456"/>
      <c r="S95" s="456"/>
      <c r="T95" s="457"/>
    </row>
    <row r="96" spans="1:20" ht="17.25" customHeight="1" x14ac:dyDescent="0.25">
      <c r="A96" s="78" t="s">
        <v>1</v>
      </c>
      <c r="B96" s="485" t="s">
        <v>39</v>
      </c>
      <c r="C96" s="485"/>
      <c r="D96" s="485"/>
      <c r="E96" s="485"/>
      <c r="F96" s="485"/>
      <c r="G96" s="485"/>
      <c r="H96" s="453">
        <v>4.5999999999999999E-3</v>
      </c>
      <c r="I96" s="453"/>
      <c r="J96" s="453"/>
      <c r="K96" s="80">
        <f t="shared" ref="K96:K101" si="1">ROUND(H96*$K$94,2)</f>
        <v>7.47</v>
      </c>
      <c r="M96" s="481"/>
      <c r="N96" s="482"/>
      <c r="O96" s="482"/>
      <c r="P96" s="482"/>
      <c r="Q96" s="482"/>
      <c r="R96" s="482"/>
      <c r="S96" s="482"/>
      <c r="T96" s="483"/>
    </row>
    <row r="97" spans="1:20" ht="17.25" customHeight="1" x14ac:dyDescent="0.25">
      <c r="A97" s="78" t="s">
        <v>3</v>
      </c>
      <c r="B97" s="485" t="s">
        <v>40</v>
      </c>
      <c r="C97" s="485"/>
      <c r="D97" s="485"/>
      <c r="E97" s="485"/>
      <c r="F97" s="485"/>
      <c r="G97" s="485"/>
      <c r="H97" s="453">
        <v>2.9999999999999997E-4</v>
      </c>
      <c r="I97" s="453"/>
      <c r="J97" s="453"/>
      <c r="K97" s="80">
        <f t="shared" si="1"/>
        <v>0.49</v>
      </c>
      <c r="M97" s="481"/>
      <c r="N97" s="482"/>
      <c r="O97" s="482"/>
      <c r="P97" s="482"/>
      <c r="Q97" s="482"/>
      <c r="R97" s="482"/>
      <c r="S97" s="482"/>
      <c r="T97" s="483"/>
    </row>
    <row r="98" spans="1:20" ht="22.5" customHeight="1" x14ac:dyDescent="0.25">
      <c r="A98" s="78" t="s">
        <v>5</v>
      </c>
      <c r="B98" s="484" t="s">
        <v>106</v>
      </c>
      <c r="C98" s="484"/>
      <c r="D98" s="484"/>
      <c r="E98" s="484"/>
      <c r="F98" s="484"/>
      <c r="G98" s="484"/>
      <c r="H98" s="453">
        <v>3.44E-2</v>
      </c>
      <c r="I98" s="453"/>
      <c r="J98" s="453"/>
      <c r="K98" s="80">
        <f t="shared" si="1"/>
        <v>55.83</v>
      </c>
      <c r="M98" s="481"/>
      <c r="N98" s="482"/>
      <c r="O98" s="482"/>
      <c r="P98" s="482"/>
      <c r="Q98" s="482"/>
      <c r="R98" s="482"/>
      <c r="S98" s="482"/>
      <c r="T98" s="483"/>
    </row>
    <row r="99" spans="1:20" ht="17.25" customHeight="1" x14ac:dyDescent="0.25">
      <c r="A99" s="78" t="s">
        <v>6</v>
      </c>
      <c r="B99" s="485" t="s">
        <v>41</v>
      </c>
      <c r="C99" s="485"/>
      <c r="D99" s="485"/>
      <c r="E99" s="485"/>
      <c r="F99" s="485"/>
      <c r="G99" s="485"/>
      <c r="H99" s="453">
        <v>1.9400000000000001E-2</v>
      </c>
      <c r="I99" s="453"/>
      <c r="J99" s="453"/>
      <c r="K99" s="80">
        <f t="shared" si="1"/>
        <v>31.49</v>
      </c>
      <c r="M99" s="481"/>
      <c r="N99" s="482"/>
      <c r="O99" s="482"/>
      <c r="P99" s="482"/>
      <c r="Q99" s="482"/>
      <c r="R99" s="482"/>
      <c r="S99" s="482"/>
      <c r="T99" s="483"/>
    </row>
    <row r="100" spans="1:20" ht="17.25" customHeight="1" x14ac:dyDescent="0.25">
      <c r="A100" s="78" t="s">
        <v>8</v>
      </c>
      <c r="B100" s="485" t="s">
        <v>42</v>
      </c>
      <c r="C100" s="485"/>
      <c r="D100" s="485"/>
      <c r="E100" s="485"/>
      <c r="F100" s="485"/>
      <c r="G100" s="485"/>
      <c r="H100" s="453">
        <v>7.7212000000000018E-3</v>
      </c>
      <c r="I100" s="453"/>
      <c r="J100" s="453"/>
      <c r="K100" s="80">
        <f t="shared" si="1"/>
        <v>12.53</v>
      </c>
      <c r="M100" s="458"/>
      <c r="N100" s="459"/>
      <c r="O100" s="459"/>
      <c r="P100" s="459"/>
      <c r="Q100" s="459"/>
      <c r="R100" s="459"/>
      <c r="S100" s="459"/>
      <c r="T100" s="460"/>
    </row>
    <row r="101" spans="1:20" ht="24" customHeight="1" x14ac:dyDescent="0.25">
      <c r="A101" s="78" t="s">
        <v>10</v>
      </c>
      <c r="B101" s="484" t="s">
        <v>107</v>
      </c>
      <c r="C101" s="484"/>
      <c r="D101" s="484"/>
      <c r="E101" s="484"/>
      <c r="F101" s="484"/>
      <c r="G101" s="484"/>
      <c r="H101" s="453">
        <v>2.4707840000000005E-4</v>
      </c>
      <c r="I101" s="453"/>
      <c r="J101" s="453"/>
      <c r="K101" s="80">
        <f t="shared" si="1"/>
        <v>0.4</v>
      </c>
      <c r="M101" s="455" t="s">
        <v>111</v>
      </c>
      <c r="N101" s="456"/>
      <c r="O101" s="456"/>
      <c r="P101" s="456"/>
      <c r="Q101" s="456"/>
      <c r="R101" s="456"/>
      <c r="S101" s="456"/>
      <c r="T101" s="457"/>
    </row>
    <row r="102" spans="1:20" ht="17.25" customHeight="1" x14ac:dyDescent="0.25">
      <c r="A102" s="446" t="s">
        <v>43</v>
      </c>
      <c r="B102" s="446"/>
      <c r="C102" s="446"/>
      <c r="D102" s="446"/>
      <c r="E102" s="446"/>
      <c r="F102" s="446"/>
      <c r="G102" s="446"/>
      <c r="H102" s="489">
        <f>SUM(H96:J101)</f>
        <v>6.6668278400000003E-2</v>
      </c>
      <c r="I102" s="446"/>
      <c r="J102" s="446"/>
      <c r="K102" s="11">
        <f>ROUND(SUM(K96:K101),2)</f>
        <v>108.21</v>
      </c>
      <c r="M102" s="458"/>
      <c r="N102" s="459"/>
      <c r="O102" s="459"/>
      <c r="P102" s="459"/>
      <c r="Q102" s="459"/>
      <c r="R102" s="459"/>
      <c r="S102" s="459"/>
      <c r="T102" s="460"/>
    </row>
    <row r="103" spans="1:20" ht="6.75" customHeight="1" x14ac:dyDescent="0.25">
      <c r="A103" s="465"/>
      <c r="B103" s="465"/>
      <c r="C103" s="465"/>
      <c r="D103" s="465"/>
      <c r="E103" s="465"/>
      <c r="F103" s="465"/>
      <c r="G103" s="465"/>
      <c r="H103" s="465"/>
      <c r="I103" s="465"/>
      <c r="J103" s="465"/>
      <c r="K103" s="465"/>
      <c r="M103" s="455" t="s">
        <v>244</v>
      </c>
      <c r="N103" s="456"/>
      <c r="O103" s="456"/>
      <c r="P103" s="456"/>
      <c r="Q103" s="456"/>
      <c r="R103" s="456"/>
      <c r="S103" s="456"/>
      <c r="T103" s="457"/>
    </row>
    <row r="104" spans="1:20" ht="17.25" customHeight="1" x14ac:dyDescent="0.25">
      <c r="A104" s="446" t="s">
        <v>44</v>
      </c>
      <c r="B104" s="446"/>
      <c r="C104" s="446"/>
      <c r="D104" s="446"/>
      <c r="E104" s="446"/>
      <c r="F104" s="446"/>
      <c r="G104" s="446"/>
      <c r="H104" s="446"/>
      <c r="I104" s="446"/>
      <c r="J104" s="446"/>
      <c r="K104" s="446"/>
      <c r="M104" s="481"/>
      <c r="N104" s="482"/>
      <c r="O104" s="482"/>
      <c r="P104" s="482"/>
      <c r="Q104" s="482"/>
      <c r="R104" s="482"/>
      <c r="S104" s="482"/>
      <c r="T104" s="483"/>
    </row>
    <row r="105" spans="1:20" ht="17.25" customHeight="1" x14ac:dyDescent="0.25">
      <c r="A105" s="475" t="s">
        <v>85</v>
      </c>
      <c r="B105" s="475"/>
      <c r="C105" s="475"/>
      <c r="D105" s="475"/>
      <c r="E105" s="475"/>
      <c r="F105" s="475"/>
      <c r="G105" s="475"/>
      <c r="H105" s="475"/>
      <c r="I105" s="475"/>
      <c r="J105" s="475"/>
      <c r="K105" s="475"/>
      <c r="M105" s="481"/>
      <c r="N105" s="482"/>
      <c r="O105" s="482"/>
      <c r="P105" s="482"/>
      <c r="Q105" s="482"/>
      <c r="R105" s="482"/>
      <c r="S105" s="482"/>
      <c r="T105" s="483"/>
    </row>
    <row r="106" spans="1:20" ht="17.25" customHeight="1" x14ac:dyDescent="0.25">
      <c r="A106" s="488" t="s">
        <v>68</v>
      </c>
      <c r="B106" s="488"/>
      <c r="C106" s="488"/>
      <c r="D106" s="488"/>
      <c r="E106" s="488"/>
      <c r="F106" s="488"/>
      <c r="G106" s="488"/>
      <c r="H106" s="488"/>
      <c r="I106" s="488"/>
      <c r="J106" s="488"/>
      <c r="K106" s="11">
        <f>K35</f>
        <v>1358.86</v>
      </c>
      <c r="M106" s="481"/>
      <c r="N106" s="482"/>
      <c r="O106" s="482"/>
      <c r="P106" s="482"/>
      <c r="Q106" s="482"/>
      <c r="R106" s="482"/>
      <c r="S106" s="482"/>
      <c r="T106" s="483"/>
    </row>
    <row r="107" spans="1:20" ht="17.25" customHeight="1" x14ac:dyDescent="0.25">
      <c r="A107" s="488" t="s">
        <v>79</v>
      </c>
      <c r="B107" s="488"/>
      <c r="C107" s="488"/>
      <c r="D107" s="488"/>
      <c r="E107" s="488"/>
      <c r="F107" s="488"/>
      <c r="G107" s="488"/>
      <c r="H107" s="488"/>
      <c r="I107" s="488"/>
      <c r="J107" s="488"/>
      <c r="K107" s="11">
        <f>K43</f>
        <v>264.16000000000003</v>
      </c>
      <c r="M107" s="458"/>
      <c r="N107" s="459"/>
      <c r="O107" s="459"/>
      <c r="P107" s="459"/>
      <c r="Q107" s="459"/>
      <c r="R107" s="459"/>
      <c r="S107" s="459"/>
      <c r="T107" s="460"/>
    </row>
    <row r="108" spans="1:20" ht="17.25" customHeight="1" x14ac:dyDescent="0.25">
      <c r="A108" s="488" t="s">
        <v>80</v>
      </c>
      <c r="B108" s="488"/>
      <c r="C108" s="488"/>
      <c r="D108" s="488"/>
      <c r="E108" s="488"/>
      <c r="F108" s="488"/>
      <c r="G108" s="488"/>
      <c r="H108" s="488"/>
      <c r="I108" s="488"/>
      <c r="J108" s="488"/>
      <c r="K108" s="11">
        <f>SUM(K106:K107)</f>
        <v>1623.02</v>
      </c>
    </row>
    <row r="109" spans="1:20" ht="17.25" customHeight="1" x14ac:dyDescent="0.25">
      <c r="A109" s="466"/>
      <c r="B109" s="466"/>
      <c r="C109" s="466"/>
      <c r="D109" s="466"/>
      <c r="E109" s="466"/>
      <c r="F109" s="466"/>
      <c r="G109" s="466"/>
      <c r="H109" s="446" t="s">
        <v>19</v>
      </c>
      <c r="I109" s="446"/>
      <c r="J109" s="446"/>
      <c r="K109" s="81" t="s">
        <v>20</v>
      </c>
    </row>
    <row r="110" spans="1:20" ht="17.25" customHeight="1" x14ac:dyDescent="0.25">
      <c r="A110" s="78" t="s">
        <v>1</v>
      </c>
      <c r="B110" s="485" t="s">
        <v>86</v>
      </c>
      <c r="C110" s="485"/>
      <c r="D110" s="485"/>
      <c r="E110" s="485"/>
      <c r="F110" s="485"/>
      <c r="G110" s="485"/>
      <c r="H110" s="453">
        <v>8.3299999999999999E-2</v>
      </c>
      <c r="I110" s="453"/>
      <c r="J110" s="453"/>
      <c r="K110" s="80">
        <f>ROUND(H110*$K$108,2)</f>
        <v>135.19999999999999</v>
      </c>
    </row>
    <row r="111" spans="1:20" ht="17.25" customHeight="1" x14ac:dyDescent="0.25">
      <c r="A111" s="452" t="s">
        <v>3</v>
      </c>
      <c r="B111" s="443" t="s">
        <v>87</v>
      </c>
      <c r="C111" s="443"/>
      <c r="D111" s="443"/>
      <c r="E111" s="443"/>
      <c r="F111" s="443"/>
      <c r="G111" s="443"/>
      <c r="H111" s="443"/>
      <c r="I111" s="443"/>
      <c r="J111" s="443"/>
      <c r="K111" s="454">
        <f>ROUND(H112*K108,2)</f>
        <v>26.46</v>
      </c>
      <c r="M111" s="455" t="s">
        <v>112</v>
      </c>
      <c r="N111" s="456"/>
      <c r="O111" s="456"/>
      <c r="P111" s="456"/>
      <c r="Q111" s="456"/>
      <c r="R111" s="456"/>
      <c r="S111" s="456"/>
      <c r="T111" s="457"/>
    </row>
    <row r="112" spans="1:20" ht="17.25" customHeight="1" x14ac:dyDescent="0.25">
      <c r="A112" s="452"/>
      <c r="B112" s="79" t="s">
        <v>88</v>
      </c>
      <c r="C112" s="79"/>
      <c r="D112" s="79"/>
      <c r="E112" s="79"/>
      <c r="F112" s="486">
        <v>5.96</v>
      </c>
      <c r="G112" s="487"/>
      <c r="H112" s="453">
        <v>1.6299999999999999E-2</v>
      </c>
      <c r="I112" s="453"/>
      <c r="J112" s="453"/>
      <c r="K112" s="454"/>
      <c r="M112" s="458"/>
      <c r="N112" s="459"/>
      <c r="O112" s="459"/>
      <c r="P112" s="459"/>
      <c r="Q112" s="459"/>
      <c r="R112" s="459"/>
      <c r="S112" s="459"/>
      <c r="T112" s="460"/>
    </row>
    <row r="113" spans="1:20" ht="17.25" customHeight="1" x14ac:dyDescent="0.25">
      <c r="A113" s="452" t="s">
        <v>5</v>
      </c>
      <c r="B113" s="443" t="s">
        <v>89</v>
      </c>
      <c r="C113" s="443"/>
      <c r="D113" s="443"/>
      <c r="E113" s="443"/>
      <c r="F113" s="443"/>
      <c r="G113" s="443"/>
      <c r="H113" s="443"/>
      <c r="I113" s="443"/>
      <c r="J113" s="443"/>
      <c r="K113" s="454">
        <f>ROUND(H114*K108,2)</f>
        <v>0.24</v>
      </c>
      <c r="M113" s="455" t="s">
        <v>113</v>
      </c>
      <c r="N113" s="456"/>
      <c r="O113" s="456"/>
      <c r="P113" s="456"/>
      <c r="Q113" s="456"/>
      <c r="R113" s="456"/>
      <c r="S113" s="456"/>
      <c r="T113" s="457"/>
    </row>
    <row r="114" spans="1:20" ht="17.25" customHeight="1" x14ac:dyDescent="0.25">
      <c r="A114" s="452"/>
      <c r="B114" s="484" t="s">
        <v>45</v>
      </c>
      <c r="C114" s="484"/>
      <c r="D114" s="484"/>
      <c r="E114" s="484"/>
      <c r="F114" s="484"/>
      <c r="G114" s="484"/>
      <c r="H114" s="479">
        <v>1.4999999999999999E-4</v>
      </c>
      <c r="I114" s="479"/>
      <c r="J114" s="479"/>
      <c r="K114" s="454"/>
      <c r="M114" s="458"/>
      <c r="N114" s="459"/>
      <c r="O114" s="459"/>
      <c r="P114" s="459"/>
      <c r="Q114" s="459"/>
      <c r="R114" s="459"/>
      <c r="S114" s="459"/>
      <c r="T114" s="460"/>
    </row>
    <row r="115" spans="1:20" ht="17.25" customHeight="1" x14ac:dyDescent="0.25">
      <c r="A115" s="452" t="s">
        <v>6</v>
      </c>
      <c r="B115" s="443" t="s">
        <v>90</v>
      </c>
      <c r="C115" s="443"/>
      <c r="D115" s="443"/>
      <c r="E115" s="443"/>
      <c r="F115" s="443"/>
      <c r="G115" s="443"/>
      <c r="H115" s="443"/>
      <c r="I115" s="443"/>
      <c r="J115" s="443"/>
      <c r="K115" s="454">
        <f>ROUND(H116*K108,2)</f>
        <v>5.36</v>
      </c>
      <c r="M115" s="455" t="s">
        <v>114</v>
      </c>
      <c r="N115" s="456"/>
      <c r="O115" s="456"/>
      <c r="P115" s="456"/>
      <c r="Q115" s="456"/>
      <c r="R115" s="456"/>
      <c r="S115" s="456"/>
      <c r="T115" s="457"/>
    </row>
    <row r="116" spans="1:20" ht="15" customHeight="1" x14ac:dyDescent="0.25">
      <c r="A116" s="452"/>
      <c r="B116" s="484" t="s">
        <v>45</v>
      </c>
      <c r="C116" s="484"/>
      <c r="D116" s="484"/>
      <c r="E116" s="484"/>
      <c r="F116" s="484"/>
      <c r="G116" s="484"/>
      <c r="H116" s="453">
        <v>3.3E-3</v>
      </c>
      <c r="I116" s="453"/>
      <c r="J116" s="453"/>
      <c r="K116" s="454"/>
      <c r="M116" s="481"/>
      <c r="N116" s="482"/>
      <c r="O116" s="482"/>
      <c r="P116" s="482"/>
      <c r="Q116" s="482"/>
      <c r="R116" s="482"/>
      <c r="S116" s="482"/>
      <c r="T116" s="483"/>
    </row>
    <row r="117" spans="1:20" ht="18" customHeight="1" x14ac:dyDescent="0.25">
      <c r="A117" s="452" t="s">
        <v>8</v>
      </c>
      <c r="B117" s="443" t="s">
        <v>91</v>
      </c>
      <c r="C117" s="443"/>
      <c r="D117" s="443"/>
      <c r="E117" s="443"/>
      <c r="F117" s="443"/>
      <c r="G117" s="443"/>
      <c r="H117" s="443"/>
      <c r="I117" s="443"/>
      <c r="J117" s="443"/>
      <c r="K117" s="454">
        <f>ROUND(H118*K108,2)</f>
        <v>0.89</v>
      </c>
      <c r="M117" s="481"/>
      <c r="N117" s="482"/>
      <c r="O117" s="482"/>
      <c r="P117" s="482"/>
      <c r="Q117" s="482"/>
      <c r="R117" s="482"/>
      <c r="S117" s="482"/>
      <c r="T117" s="483"/>
    </row>
    <row r="118" spans="1:20" ht="18" customHeight="1" x14ac:dyDescent="0.25">
      <c r="A118" s="452"/>
      <c r="B118" s="485" t="s">
        <v>46</v>
      </c>
      <c r="C118" s="485"/>
      <c r="D118" s="485"/>
      <c r="E118" s="485"/>
      <c r="F118" s="485"/>
      <c r="G118" s="485"/>
      <c r="H118" s="479">
        <v>5.5000000000000003E-4</v>
      </c>
      <c r="I118" s="479"/>
      <c r="J118" s="479"/>
      <c r="K118" s="454"/>
      <c r="M118" s="458"/>
      <c r="N118" s="459"/>
      <c r="O118" s="459"/>
      <c r="P118" s="459"/>
      <c r="Q118" s="459"/>
      <c r="R118" s="459"/>
      <c r="S118" s="459"/>
      <c r="T118" s="460"/>
    </row>
    <row r="119" spans="1:20" ht="18" customHeight="1" x14ac:dyDescent="0.25">
      <c r="A119" s="78" t="s">
        <v>10</v>
      </c>
      <c r="B119" s="468" t="s">
        <v>104</v>
      </c>
      <c r="C119" s="468"/>
      <c r="D119" s="468"/>
      <c r="E119" s="468"/>
      <c r="F119" s="468"/>
      <c r="G119" s="468"/>
      <c r="H119" s="468"/>
      <c r="I119" s="468"/>
      <c r="J119" s="468"/>
      <c r="K119" s="89"/>
      <c r="M119" s="455" t="s">
        <v>115</v>
      </c>
      <c r="N119" s="456"/>
      <c r="O119" s="456"/>
      <c r="P119" s="456"/>
      <c r="Q119" s="456"/>
      <c r="R119" s="456"/>
      <c r="S119" s="456"/>
      <c r="T119" s="457"/>
    </row>
    <row r="120" spans="1:20" ht="18" customHeight="1" x14ac:dyDescent="0.25">
      <c r="A120" s="78"/>
      <c r="B120" s="462" t="s">
        <v>47</v>
      </c>
      <c r="C120" s="462"/>
      <c r="D120" s="462"/>
      <c r="E120" s="462"/>
      <c r="F120" s="462"/>
      <c r="G120" s="462"/>
      <c r="H120" s="480">
        <f>SUM(H110,H112,H114,H116,H118)</f>
        <v>0.10359999999999998</v>
      </c>
      <c r="I120" s="480"/>
      <c r="J120" s="480"/>
      <c r="K120" s="13">
        <f>SUM(K110:K119)</f>
        <v>168.15</v>
      </c>
      <c r="M120" s="458"/>
      <c r="N120" s="459"/>
      <c r="O120" s="459"/>
      <c r="P120" s="459"/>
      <c r="Q120" s="459"/>
      <c r="R120" s="459"/>
      <c r="S120" s="459"/>
      <c r="T120" s="460"/>
    </row>
    <row r="121" spans="1:20" ht="18" customHeight="1" x14ac:dyDescent="0.25">
      <c r="A121" s="78" t="s">
        <v>11</v>
      </c>
      <c r="B121" s="452" t="s">
        <v>48</v>
      </c>
      <c r="C121" s="452"/>
      <c r="D121" s="452"/>
      <c r="E121" s="452"/>
      <c r="F121" s="452"/>
      <c r="G121" s="452"/>
      <c r="H121" s="480">
        <f>H120*I59</f>
        <v>4.12328E-2</v>
      </c>
      <c r="I121" s="480"/>
      <c r="J121" s="480"/>
      <c r="K121" s="80">
        <f>ROUND(H121*K108,2)</f>
        <v>66.92</v>
      </c>
      <c r="M121" s="28"/>
      <c r="N121" s="28"/>
      <c r="O121" s="28"/>
      <c r="P121" s="28"/>
      <c r="Q121" s="28"/>
      <c r="R121" s="28"/>
      <c r="S121" s="28"/>
      <c r="T121" s="28"/>
    </row>
    <row r="122" spans="1:20" ht="18" customHeight="1" x14ac:dyDescent="0.25">
      <c r="A122" s="475" t="s">
        <v>49</v>
      </c>
      <c r="B122" s="475"/>
      <c r="C122" s="475"/>
      <c r="D122" s="475"/>
      <c r="E122" s="475"/>
      <c r="F122" s="475"/>
      <c r="G122" s="475"/>
      <c r="H122" s="477">
        <f>SUM(H120:J121)</f>
        <v>0.14483279999999998</v>
      </c>
      <c r="I122" s="475"/>
      <c r="J122" s="475"/>
      <c r="K122" s="12">
        <f>SUM(K120:K121)</f>
        <v>235.07</v>
      </c>
      <c r="M122" s="28"/>
      <c r="N122" s="29"/>
      <c r="O122" s="29"/>
      <c r="P122" s="29"/>
      <c r="Q122" s="29"/>
      <c r="R122" s="29"/>
      <c r="S122" s="29"/>
      <c r="T122" s="29"/>
    </row>
    <row r="123" spans="1:20" s="2" customFormat="1" ht="5.25" customHeight="1" x14ac:dyDescent="0.25">
      <c r="A123" s="478"/>
      <c r="B123" s="478"/>
      <c r="C123" s="478"/>
      <c r="D123" s="478"/>
      <c r="E123" s="478"/>
      <c r="F123" s="478"/>
      <c r="G123" s="478"/>
      <c r="H123" s="478"/>
      <c r="I123" s="478"/>
      <c r="J123" s="478"/>
      <c r="K123" s="478"/>
      <c r="M123" s="22"/>
      <c r="N123" s="22"/>
      <c r="O123" s="22"/>
      <c r="P123" s="22"/>
      <c r="Q123" s="22"/>
      <c r="R123" s="22"/>
      <c r="S123" s="22"/>
      <c r="T123" s="22"/>
    </row>
    <row r="124" spans="1:20" ht="17.25" customHeight="1" x14ac:dyDescent="0.25">
      <c r="A124" s="462" t="s">
        <v>92</v>
      </c>
      <c r="B124" s="462"/>
      <c r="C124" s="462"/>
      <c r="D124" s="462"/>
      <c r="E124" s="462"/>
      <c r="F124" s="462"/>
      <c r="G124" s="462"/>
      <c r="H124" s="462"/>
      <c r="I124" s="462"/>
      <c r="J124" s="462"/>
      <c r="K124" s="462"/>
    </row>
    <row r="125" spans="1:20" ht="17.25" customHeight="1" x14ac:dyDescent="0.25">
      <c r="A125" s="466"/>
      <c r="B125" s="466"/>
      <c r="C125" s="466"/>
      <c r="D125" s="466"/>
      <c r="E125" s="466"/>
      <c r="F125" s="466"/>
      <c r="G125" s="466"/>
      <c r="H125" s="466"/>
      <c r="I125" s="466"/>
      <c r="J125" s="466"/>
      <c r="K125" s="81" t="s">
        <v>20</v>
      </c>
    </row>
    <row r="126" spans="1:20" ht="17.25" customHeight="1" x14ac:dyDescent="0.25">
      <c r="A126" s="78" t="s">
        <v>1</v>
      </c>
      <c r="B126" s="443" t="s">
        <v>93</v>
      </c>
      <c r="C126" s="443"/>
      <c r="D126" s="443"/>
      <c r="E126" s="443"/>
      <c r="F126" s="443"/>
      <c r="G126" s="443"/>
      <c r="H126" s="443"/>
      <c r="I126" s="443"/>
      <c r="J126" s="443"/>
      <c r="K126" s="80">
        <v>0</v>
      </c>
    </row>
    <row r="127" spans="1:20" ht="17.25" customHeight="1" x14ac:dyDescent="0.25">
      <c r="A127" s="475" t="s">
        <v>50</v>
      </c>
      <c r="B127" s="475"/>
      <c r="C127" s="475"/>
      <c r="D127" s="475"/>
      <c r="E127" s="475"/>
      <c r="F127" s="475"/>
      <c r="G127" s="475"/>
      <c r="H127" s="475"/>
      <c r="I127" s="475"/>
      <c r="J127" s="475"/>
      <c r="K127" s="12">
        <f>K126</f>
        <v>0</v>
      </c>
    </row>
    <row r="128" spans="1:20" ht="5.25" customHeight="1" x14ac:dyDescent="0.25">
      <c r="A128" s="476"/>
      <c r="B128" s="476"/>
      <c r="C128" s="476"/>
      <c r="D128" s="476"/>
      <c r="E128" s="476"/>
      <c r="F128" s="476"/>
      <c r="G128" s="476"/>
      <c r="H128" s="476"/>
      <c r="I128" s="476"/>
      <c r="J128" s="476"/>
      <c r="K128" s="476"/>
    </row>
    <row r="129" spans="1:20" ht="17.25" customHeight="1" x14ac:dyDescent="0.25">
      <c r="A129" s="446" t="s">
        <v>51</v>
      </c>
      <c r="B129" s="446"/>
      <c r="C129" s="446"/>
      <c r="D129" s="446"/>
      <c r="E129" s="446"/>
      <c r="F129" s="446"/>
      <c r="G129" s="446"/>
      <c r="H129" s="446"/>
      <c r="I129" s="446"/>
      <c r="J129" s="446"/>
      <c r="K129" s="11">
        <f>SUM(K122,K127)</f>
        <v>235.07</v>
      </c>
    </row>
    <row r="130" spans="1:20" ht="6.75" customHeight="1" x14ac:dyDescent="0.25">
      <c r="A130" s="465"/>
      <c r="B130" s="465"/>
      <c r="C130" s="465"/>
      <c r="D130" s="465"/>
      <c r="E130" s="465"/>
      <c r="F130" s="465"/>
      <c r="G130" s="465"/>
      <c r="H130" s="465"/>
      <c r="I130" s="465"/>
      <c r="J130" s="465"/>
      <c r="K130" s="465"/>
    </row>
    <row r="131" spans="1:20" ht="17.25" customHeight="1" x14ac:dyDescent="0.25">
      <c r="A131" s="446" t="s">
        <v>52</v>
      </c>
      <c r="B131" s="446"/>
      <c r="C131" s="446"/>
      <c r="D131" s="446"/>
      <c r="E131" s="446"/>
      <c r="F131" s="446"/>
      <c r="G131" s="446"/>
      <c r="H131" s="446"/>
      <c r="I131" s="446"/>
      <c r="J131" s="446"/>
      <c r="K131" s="446"/>
    </row>
    <row r="132" spans="1:20" ht="17.25" customHeight="1" x14ac:dyDescent="0.25">
      <c r="A132" s="78" t="s">
        <v>1</v>
      </c>
      <c r="B132" s="443" t="s">
        <v>187</v>
      </c>
      <c r="C132" s="443"/>
      <c r="D132" s="443"/>
      <c r="E132" s="443"/>
      <c r="F132" s="443"/>
      <c r="G132" s="443"/>
      <c r="H132" s="443"/>
      <c r="I132" s="443"/>
      <c r="J132" s="443"/>
      <c r="K132" s="14">
        <v>35.727499999999999</v>
      </c>
    </row>
    <row r="133" spans="1:20" ht="17.25" customHeight="1" x14ac:dyDescent="0.25">
      <c r="A133" s="78" t="s">
        <v>3</v>
      </c>
      <c r="B133" s="84" t="s">
        <v>188</v>
      </c>
      <c r="C133" s="84"/>
      <c r="D133" s="84"/>
      <c r="E133" s="84"/>
      <c r="F133" s="469" t="s">
        <v>189</v>
      </c>
      <c r="G133" s="470"/>
      <c r="H133" s="470"/>
      <c r="I133" s="471"/>
      <c r="J133" s="63">
        <v>0.12</v>
      </c>
      <c r="K133" s="14">
        <f>(K35+K89+K102+K129+K132)*J133</f>
        <v>387.15809999999999</v>
      </c>
    </row>
    <row r="134" spans="1:20" ht="17.25" customHeight="1" x14ac:dyDescent="0.25">
      <c r="A134" s="78" t="s">
        <v>5</v>
      </c>
      <c r="B134" s="468" t="s">
        <v>22</v>
      </c>
      <c r="C134" s="468"/>
      <c r="D134" s="468"/>
      <c r="E134" s="468"/>
      <c r="F134" s="468"/>
      <c r="G134" s="468"/>
      <c r="H134" s="468"/>
      <c r="I134" s="468"/>
      <c r="J134" s="468"/>
      <c r="K134" s="89"/>
    </row>
    <row r="135" spans="1:20" ht="17.25" customHeight="1" x14ac:dyDescent="0.25">
      <c r="A135" s="446" t="s">
        <v>53</v>
      </c>
      <c r="B135" s="446"/>
      <c r="C135" s="446"/>
      <c r="D135" s="446"/>
      <c r="E135" s="446"/>
      <c r="F135" s="446"/>
      <c r="G135" s="446"/>
      <c r="H135" s="446"/>
      <c r="I135" s="446"/>
      <c r="J135" s="446"/>
      <c r="K135" s="15">
        <f>SUM(K132:K134)</f>
        <v>422.88560000000001</v>
      </c>
    </row>
    <row r="136" spans="1:20" s="5" customFormat="1" ht="17.25" customHeight="1" x14ac:dyDescent="0.25">
      <c r="A136" s="472"/>
      <c r="B136" s="473"/>
      <c r="C136" s="473"/>
      <c r="D136" s="473"/>
      <c r="E136" s="473"/>
      <c r="F136" s="473"/>
      <c r="G136" s="473"/>
      <c r="H136" s="473"/>
      <c r="I136" s="473"/>
      <c r="J136" s="473"/>
      <c r="K136" s="474"/>
      <c r="M136" s="22"/>
      <c r="N136" s="22"/>
      <c r="O136" s="22"/>
      <c r="P136" s="22"/>
      <c r="Q136" s="22"/>
      <c r="R136" s="22"/>
      <c r="S136" s="22"/>
      <c r="T136" s="22"/>
    </row>
    <row r="137" spans="1:20" ht="17.25" customHeight="1" x14ac:dyDescent="0.25">
      <c r="A137" s="446" t="s">
        <v>94</v>
      </c>
      <c r="B137" s="446"/>
      <c r="C137" s="446"/>
      <c r="D137" s="446"/>
      <c r="E137" s="446"/>
      <c r="F137" s="446"/>
      <c r="G137" s="446"/>
      <c r="H137" s="446"/>
      <c r="I137" s="446"/>
      <c r="J137" s="446"/>
      <c r="K137" s="11">
        <f>SUM(K35,K89,K102,K129,K135)</f>
        <v>3613.4756000000002</v>
      </c>
      <c r="M137" s="30"/>
    </row>
    <row r="138" spans="1:20" s="5" customFormat="1" ht="17.25" customHeight="1" x14ac:dyDescent="0.25">
      <c r="A138" s="472"/>
      <c r="B138" s="473"/>
      <c r="C138" s="473"/>
      <c r="D138" s="473"/>
      <c r="E138" s="473"/>
      <c r="F138" s="473"/>
      <c r="G138" s="473"/>
      <c r="H138" s="473"/>
      <c r="I138" s="473"/>
      <c r="J138" s="473"/>
      <c r="K138" s="474"/>
      <c r="M138" s="22"/>
      <c r="N138" s="22"/>
      <c r="O138" s="22"/>
      <c r="P138" s="22"/>
      <c r="Q138" s="22"/>
      <c r="R138" s="22"/>
      <c r="S138" s="22"/>
      <c r="T138" s="22"/>
    </row>
    <row r="139" spans="1:20" ht="6.75" customHeight="1" x14ac:dyDescent="0.25">
      <c r="A139" s="465"/>
      <c r="B139" s="465"/>
      <c r="C139" s="465"/>
      <c r="D139" s="465"/>
      <c r="E139" s="465"/>
      <c r="F139" s="465"/>
      <c r="G139" s="465"/>
      <c r="H139" s="465"/>
      <c r="I139" s="465"/>
      <c r="J139" s="465"/>
      <c r="K139" s="465"/>
    </row>
    <row r="140" spans="1:20" ht="17.25" customHeight="1" x14ac:dyDescent="0.25">
      <c r="A140" s="446" t="s">
        <v>54</v>
      </c>
      <c r="B140" s="446"/>
      <c r="C140" s="446"/>
      <c r="D140" s="446"/>
      <c r="E140" s="446"/>
      <c r="F140" s="446"/>
      <c r="G140" s="446"/>
      <c r="H140" s="446"/>
      <c r="I140" s="446"/>
      <c r="J140" s="446"/>
      <c r="K140" s="446"/>
    </row>
    <row r="141" spans="1:20" ht="17.25" customHeight="1" x14ac:dyDescent="0.25">
      <c r="A141" s="466"/>
      <c r="B141" s="466"/>
      <c r="C141" s="466"/>
      <c r="D141" s="466"/>
      <c r="E141" s="466"/>
      <c r="F141" s="466"/>
      <c r="G141" s="446" t="s">
        <v>25</v>
      </c>
      <c r="H141" s="446"/>
      <c r="I141" s="467" t="s">
        <v>55</v>
      </c>
      <c r="J141" s="467"/>
      <c r="K141" s="81" t="s">
        <v>20</v>
      </c>
    </row>
    <row r="142" spans="1:20" ht="17.25" customHeight="1" x14ac:dyDescent="0.25">
      <c r="A142" s="78" t="s">
        <v>1</v>
      </c>
      <c r="B142" s="443" t="s">
        <v>56</v>
      </c>
      <c r="C142" s="443"/>
      <c r="D142" s="443"/>
      <c r="E142" s="443"/>
      <c r="F142" s="443"/>
      <c r="G142" s="448">
        <v>0.03</v>
      </c>
      <c r="H142" s="448"/>
      <c r="I142" s="454">
        <f>SUM(K35,K89,K102,K129,K135)</f>
        <v>3613.4756000000002</v>
      </c>
      <c r="J142" s="454"/>
      <c r="K142" s="80">
        <f>ROUND(I142*G142,2)</f>
        <v>108.4</v>
      </c>
      <c r="M142" s="455" t="s">
        <v>182</v>
      </c>
      <c r="N142" s="456"/>
      <c r="O142" s="456"/>
      <c r="P142" s="456"/>
      <c r="Q142" s="456"/>
      <c r="R142" s="456"/>
      <c r="S142" s="456"/>
      <c r="T142" s="457"/>
    </row>
    <row r="143" spans="1:20" ht="17.25" customHeight="1" x14ac:dyDescent="0.25">
      <c r="A143" s="78" t="s">
        <v>3</v>
      </c>
      <c r="B143" s="443" t="s">
        <v>57</v>
      </c>
      <c r="C143" s="443"/>
      <c r="D143" s="443"/>
      <c r="E143" s="443"/>
      <c r="F143" s="443"/>
      <c r="G143" s="448">
        <v>6.7900000000000002E-2</v>
      </c>
      <c r="H143" s="448"/>
      <c r="I143" s="454">
        <f>I142+K142</f>
        <v>3721.8756000000003</v>
      </c>
      <c r="J143" s="454"/>
      <c r="K143" s="80">
        <f>ROUND(I143*G143,2)</f>
        <v>252.72</v>
      </c>
      <c r="M143" s="458"/>
      <c r="N143" s="459"/>
      <c r="O143" s="459"/>
      <c r="P143" s="459"/>
      <c r="Q143" s="459"/>
      <c r="R143" s="459"/>
      <c r="S143" s="459"/>
      <c r="T143" s="460"/>
    </row>
    <row r="144" spans="1:20" ht="17.25" customHeight="1" x14ac:dyDescent="0.25">
      <c r="A144" s="452" t="s">
        <v>5</v>
      </c>
      <c r="B144" s="452" t="s">
        <v>58</v>
      </c>
      <c r="C144" s="452"/>
      <c r="D144" s="452" t="s">
        <v>59</v>
      </c>
      <c r="E144" s="452"/>
      <c r="F144" s="78" t="s">
        <v>60</v>
      </c>
      <c r="G144" s="448">
        <v>6.4999999999999997E-3</v>
      </c>
      <c r="H144" s="448"/>
      <c r="I144" s="454">
        <f>I143+K143</f>
        <v>3974.5956000000001</v>
      </c>
      <c r="J144" s="454"/>
      <c r="K144" s="80">
        <f>ROUND(($I$144/(1-$G$151)*G144),2)</f>
        <v>27.97</v>
      </c>
      <c r="M144" s="455" t="s">
        <v>116</v>
      </c>
      <c r="N144" s="456"/>
      <c r="O144" s="456"/>
      <c r="P144" s="456"/>
      <c r="Q144" s="456"/>
      <c r="R144" s="456"/>
      <c r="S144" s="456"/>
      <c r="T144" s="457"/>
    </row>
    <row r="145" spans="1:20" ht="17.25" customHeight="1" x14ac:dyDescent="0.25">
      <c r="A145" s="452"/>
      <c r="B145" s="452"/>
      <c r="C145" s="452"/>
      <c r="D145" s="452"/>
      <c r="E145" s="452"/>
      <c r="F145" s="78" t="s">
        <v>61</v>
      </c>
      <c r="G145" s="448">
        <v>0.03</v>
      </c>
      <c r="H145" s="448"/>
      <c r="I145" s="454"/>
      <c r="J145" s="454"/>
      <c r="K145" s="80">
        <f>ROUND(($I$144/(1-$G$151)*G145),2)</f>
        <v>129.12</v>
      </c>
      <c r="M145" s="449" t="s">
        <v>117</v>
      </c>
      <c r="N145" s="450"/>
      <c r="O145" s="450"/>
      <c r="P145" s="450"/>
      <c r="Q145" s="450"/>
      <c r="R145" s="450"/>
      <c r="S145" s="450"/>
      <c r="T145" s="451"/>
    </row>
    <row r="146" spans="1:20" ht="17.25" customHeight="1" x14ac:dyDescent="0.25">
      <c r="A146" s="452"/>
      <c r="B146" s="452"/>
      <c r="C146" s="452"/>
      <c r="D146" s="452"/>
      <c r="E146" s="452"/>
      <c r="F146" s="87" t="s">
        <v>62</v>
      </c>
      <c r="G146" s="448"/>
      <c r="H146" s="448"/>
      <c r="I146" s="454"/>
      <c r="J146" s="454"/>
      <c r="K146" s="80">
        <f>ROUND(($I$144/(1-$G$151)*G146),2)</f>
        <v>0</v>
      </c>
      <c r="M146" s="449" t="s">
        <v>183</v>
      </c>
      <c r="N146" s="450"/>
      <c r="O146" s="450"/>
      <c r="P146" s="450"/>
      <c r="Q146" s="450"/>
      <c r="R146" s="450"/>
      <c r="S146" s="450"/>
      <c r="T146" s="451"/>
    </row>
    <row r="147" spans="1:20" ht="17.25" customHeight="1" x14ac:dyDescent="0.25">
      <c r="A147" s="452"/>
      <c r="B147" s="452"/>
      <c r="C147" s="452"/>
      <c r="D147" s="452" t="s">
        <v>63</v>
      </c>
      <c r="E147" s="452"/>
      <c r="F147" s="78" t="s">
        <v>64</v>
      </c>
      <c r="G147" s="453">
        <v>0.04</v>
      </c>
      <c r="H147" s="453"/>
      <c r="I147" s="454"/>
      <c r="J147" s="454"/>
      <c r="K147" s="454">
        <f>ROUND(($I$144/(1-$G$151)*G147),2)</f>
        <v>172.15</v>
      </c>
    </row>
    <row r="148" spans="1:20" ht="17.25" customHeight="1" x14ac:dyDescent="0.25">
      <c r="A148" s="452"/>
      <c r="B148" s="452"/>
      <c r="C148" s="452"/>
      <c r="D148" s="452"/>
      <c r="E148" s="452"/>
      <c r="F148" s="16" t="str">
        <f>K11</f>
        <v>Araçatuba / SP</v>
      </c>
      <c r="G148" s="453"/>
      <c r="H148" s="453"/>
      <c r="I148" s="454"/>
      <c r="J148" s="454"/>
      <c r="K148" s="454"/>
    </row>
    <row r="149" spans="1:20" ht="17.25" customHeight="1" x14ac:dyDescent="0.25">
      <c r="A149" s="452"/>
      <c r="B149" s="452"/>
      <c r="C149" s="452"/>
      <c r="D149" s="452"/>
      <c r="E149" s="452"/>
      <c r="F149" s="87" t="s">
        <v>62</v>
      </c>
      <c r="G149" s="448"/>
      <c r="H149" s="448"/>
      <c r="I149" s="454"/>
      <c r="J149" s="454"/>
      <c r="K149" s="80">
        <f>ROUND(($I$144/(1-$G$151)*G149),2)</f>
        <v>0</v>
      </c>
    </row>
    <row r="150" spans="1:20" ht="17.25" customHeight="1" x14ac:dyDescent="0.25">
      <c r="A150" s="452"/>
      <c r="B150" s="452"/>
      <c r="C150" s="452"/>
      <c r="D150" s="461" t="s">
        <v>65</v>
      </c>
      <c r="E150" s="461"/>
      <c r="F150" s="87"/>
      <c r="G150" s="448"/>
      <c r="H150" s="448"/>
      <c r="I150" s="454"/>
      <c r="J150" s="454"/>
      <c r="K150" s="80">
        <f>ROUND(($I$144/(1-$G$151)*G150),2)</f>
        <v>0</v>
      </c>
    </row>
    <row r="151" spans="1:20" ht="17.25" customHeight="1" x14ac:dyDescent="0.25">
      <c r="A151" s="452"/>
      <c r="B151" s="462" t="s">
        <v>66</v>
      </c>
      <c r="C151" s="462"/>
      <c r="D151" s="462"/>
      <c r="E151" s="462"/>
      <c r="F151" s="462"/>
      <c r="G151" s="463">
        <f>SUM(G144:H150)</f>
        <v>7.6499999999999999E-2</v>
      </c>
      <c r="H151" s="463"/>
      <c r="I151" s="464"/>
      <c r="J151" s="464"/>
      <c r="K151" s="17"/>
      <c r="M151" s="31"/>
    </row>
    <row r="152" spans="1:20" ht="17.25" customHeight="1" x14ac:dyDescent="0.25">
      <c r="A152" s="446" t="s">
        <v>67</v>
      </c>
      <c r="B152" s="446"/>
      <c r="C152" s="446"/>
      <c r="D152" s="446"/>
      <c r="E152" s="446"/>
      <c r="F152" s="446"/>
      <c r="G152" s="446"/>
      <c r="H152" s="446"/>
      <c r="I152" s="447">
        <f>((1+G142)*(1+G143))/(1-G151)-1</f>
        <v>0.19105251759610198</v>
      </c>
      <c r="J152" s="447"/>
      <c r="K152" s="11">
        <f>ROUND(SUM(K142:K150),2)</f>
        <v>690.36</v>
      </c>
    </row>
    <row r="153" spans="1:20" ht="6" customHeight="1" x14ac:dyDescent="0.25">
      <c r="A153" s="445"/>
      <c r="B153" s="445"/>
      <c r="C153" s="445"/>
      <c r="D153" s="445"/>
      <c r="E153" s="445"/>
      <c r="F153" s="445"/>
      <c r="G153" s="445"/>
      <c r="H153" s="445"/>
      <c r="I153" s="445"/>
      <c r="J153" s="445"/>
      <c r="K153" s="445"/>
    </row>
    <row r="154" spans="1:20" ht="19.5" customHeight="1" x14ac:dyDescent="0.25">
      <c r="A154" s="444" t="s">
        <v>105</v>
      </c>
      <c r="B154" s="444"/>
      <c r="C154" s="444"/>
      <c r="D154" s="444"/>
      <c r="E154" s="444"/>
      <c r="F154" s="444"/>
      <c r="G154" s="444"/>
      <c r="H154" s="444"/>
      <c r="I154" s="444"/>
      <c r="J154" s="444"/>
      <c r="K154" s="86" t="s">
        <v>20</v>
      </c>
    </row>
    <row r="155" spans="1:20" ht="17.25" customHeight="1" x14ac:dyDescent="0.25">
      <c r="A155" s="78" t="s">
        <v>1</v>
      </c>
      <c r="B155" s="443" t="s">
        <v>68</v>
      </c>
      <c r="C155" s="443"/>
      <c r="D155" s="443"/>
      <c r="E155" s="443"/>
      <c r="F155" s="443"/>
      <c r="G155" s="443"/>
      <c r="H155" s="443"/>
      <c r="I155" s="443"/>
      <c r="J155" s="443"/>
      <c r="K155" s="80">
        <f>K35</f>
        <v>1358.86</v>
      </c>
    </row>
    <row r="156" spans="1:20" ht="17.25" customHeight="1" x14ac:dyDescent="0.25">
      <c r="A156" s="78" t="s">
        <v>3</v>
      </c>
      <c r="B156" s="443" t="s">
        <v>69</v>
      </c>
      <c r="C156" s="443"/>
      <c r="D156" s="443"/>
      <c r="E156" s="443"/>
      <c r="F156" s="443"/>
      <c r="G156" s="443"/>
      <c r="H156" s="443"/>
      <c r="I156" s="443"/>
      <c r="J156" s="443"/>
      <c r="K156" s="80">
        <f>K89</f>
        <v>1488.45</v>
      </c>
    </row>
    <row r="157" spans="1:20" ht="17.25" customHeight="1" x14ac:dyDescent="0.25">
      <c r="A157" s="78" t="s">
        <v>5</v>
      </c>
      <c r="B157" s="443" t="s">
        <v>70</v>
      </c>
      <c r="C157" s="443"/>
      <c r="D157" s="443"/>
      <c r="E157" s="443"/>
      <c r="F157" s="443"/>
      <c r="G157" s="443"/>
      <c r="H157" s="443"/>
      <c r="I157" s="443"/>
      <c r="J157" s="443"/>
      <c r="K157" s="80">
        <f>K102</f>
        <v>108.21</v>
      </c>
    </row>
    <row r="158" spans="1:20" ht="17.25" customHeight="1" x14ac:dyDescent="0.25">
      <c r="A158" s="78" t="s">
        <v>6</v>
      </c>
      <c r="B158" s="443" t="s">
        <v>71</v>
      </c>
      <c r="C158" s="443"/>
      <c r="D158" s="443"/>
      <c r="E158" s="443"/>
      <c r="F158" s="443"/>
      <c r="G158" s="443"/>
      <c r="H158" s="443"/>
      <c r="I158" s="443"/>
      <c r="J158" s="443"/>
      <c r="K158" s="80">
        <f>K129</f>
        <v>235.07</v>
      </c>
    </row>
    <row r="159" spans="1:20" ht="17.25" customHeight="1" x14ac:dyDescent="0.25">
      <c r="A159" s="78" t="s">
        <v>8</v>
      </c>
      <c r="B159" s="443" t="s">
        <v>72</v>
      </c>
      <c r="C159" s="443"/>
      <c r="D159" s="443"/>
      <c r="E159" s="443"/>
      <c r="F159" s="443"/>
      <c r="G159" s="443"/>
      <c r="H159" s="443"/>
      <c r="I159" s="443"/>
      <c r="J159" s="443"/>
      <c r="K159" s="80">
        <f>K135</f>
        <v>422.88560000000001</v>
      </c>
    </row>
    <row r="160" spans="1:20" ht="17.25" customHeight="1" x14ac:dyDescent="0.25">
      <c r="A160" s="78" t="s">
        <v>10</v>
      </c>
      <c r="B160" s="443" t="s">
        <v>73</v>
      </c>
      <c r="C160" s="443"/>
      <c r="D160" s="443"/>
      <c r="E160" s="443"/>
      <c r="F160" s="443"/>
      <c r="G160" s="443"/>
      <c r="H160" s="443"/>
      <c r="I160" s="443"/>
      <c r="J160" s="443"/>
      <c r="K160" s="80">
        <f>K152</f>
        <v>690.36</v>
      </c>
    </row>
    <row r="161" spans="1:11" ht="18" customHeight="1" x14ac:dyDescent="0.25">
      <c r="A161" s="444" t="s">
        <v>74</v>
      </c>
      <c r="B161" s="444"/>
      <c r="C161" s="444"/>
      <c r="D161" s="444"/>
      <c r="E161" s="444"/>
      <c r="F161" s="444"/>
      <c r="G161" s="444"/>
      <c r="H161" s="444"/>
      <c r="I161" s="444"/>
      <c r="J161" s="444"/>
      <c r="K161" s="18">
        <f>ROUND(SUM(K155:K160),2)</f>
        <v>4303.84</v>
      </c>
    </row>
    <row r="162" spans="1:11" ht="6" customHeight="1" x14ac:dyDescent="0.25">
      <c r="A162" s="445"/>
      <c r="B162" s="445"/>
      <c r="C162" s="445"/>
      <c r="D162" s="445"/>
      <c r="E162" s="445"/>
      <c r="F162" s="445"/>
      <c r="G162" s="445"/>
      <c r="H162" s="445"/>
      <c r="I162" s="445"/>
      <c r="J162" s="445"/>
      <c r="K162" s="445"/>
    </row>
    <row r="164" spans="1:11" x14ac:dyDescent="0.25">
      <c r="I164" s="6"/>
    </row>
  </sheetData>
  <sheetProtection selectLockedCells="1" selectUnlockedCells="1"/>
  <mergeCells count="290">
    <mergeCell ref="A5:C5"/>
    <mergeCell ref="D5:K5"/>
    <mergeCell ref="A6:C6"/>
    <mergeCell ref="D6:K6"/>
    <mergeCell ref="A7:K7"/>
    <mergeCell ref="A8:K8"/>
    <mergeCell ref="A1:K1"/>
    <mergeCell ref="A2:K2"/>
    <mergeCell ref="A3:C3"/>
    <mergeCell ref="D3:K3"/>
    <mergeCell ref="A4:C4"/>
    <mergeCell ref="D4:K4"/>
    <mergeCell ref="B15:J15"/>
    <mergeCell ref="B16:J16"/>
    <mergeCell ref="B17:J17"/>
    <mergeCell ref="B18:J18"/>
    <mergeCell ref="B19:J19"/>
    <mergeCell ref="B20:J20"/>
    <mergeCell ref="A9:K9"/>
    <mergeCell ref="B10:J10"/>
    <mergeCell ref="B11:J11"/>
    <mergeCell ref="B12:J12"/>
    <mergeCell ref="B13:J13"/>
    <mergeCell ref="B14:J14"/>
    <mergeCell ref="B27:G27"/>
    <mergeCell ref="I27:J27"/>
    <mergeCell ref="B28:G28"/>
    <mergeCell ref="I28:J28"/>
    <mergeCell ref="B29:G29"/>
    <mergeCell ref="I29:J29"/>
    <mergeCell ref="B21:J21"/>
    <mergeCell ref="B22:J22"/>
    <mergeCell ref="A23:K23"/>
    <mergeCell ref="A24:K24"/>
    <mergeCell ref="A25:J25"/>
    <mergeCell ref="B26:G26"/>
    <mergeCell ref="I26:J26"/>
    <mergeCell ref="K31:K33"/>
    <mergeCell ref="M31:T33"/>
    <mergeCell ref="I33:J33"/>
    <mergeCell ref="B34:J34"/>
    <mergeCell ref="A35:J35"/>
    <mergeCell ref="A36:K36"/>
    <mergeCell ref="B30:G30"/>
    <mergeCell ref="I30:J30"/>
    <mergeCell ref="A31:A33"/>
    <mergeCell ref="B31:F33"/>
    <mergeCell ref="G31:G32"/>
    <mergeCell ref="H31:H32"/>
    <mergeCell ref="I31:J32"/>
    <mergeCell ref="M40:T42"/>
    <mergeCell ref="B41:H41"/>
    <mergeCell ref="I41:J41"/>
    <mergeCell ref="B42:H42"/>
    <mergeCell ref="I42:J42"/>
    <mergeCell ref="A43:H43"/>
    <mergeCell ref="I43:J43"/>
    <mergeCell ref="A37:K37"/>
    <mergeCell ref="A38:K38"/>
    <mergeCell ref="A39:H39"/>
    <mergeCell ref="I39:J39"/>
    <mergeCell ref="B40:H40"/>
    <mergeCell ref="I40:J40"/>
    <mergeCell ref="B50:H50"/>
    <mergeCell ref="I50:J50"/>
    <mergeCell ref="B51:H51"/>
    <mergeCell ref="I51:J51"/>
    <mergeCell ref="A52:A53"/>
    <mergeCell ref="B52:F53"/>
    <mergeCell ref="I52:J53"/>
    <mergeCell ref="A44:K44"/>
    <mergeCell ref="A45:K45"/>
    <mergeCell ref="A46:J46"/>
    <mergeCell ref="A47:J47"/>
    <mergeCell ref="A48:J48"/>
    <mergeCell ref="A49:H49"/>
    <mergeCell ref="I49:J49"/>
    <mergeCell ref="M61:T62"/>
    <mergeCell ref="A62:J62"/>
    <mergeCell ref="B56:H56"/>
    <mergeCell ref="I56:J56"/>
    <mergeCell ref="B57:H57"/>
    <mergeCell ref="I57:J57"/>
    <mergeCell ref="B58:H58"/>
    <mergeCell ref="I58:J58"/>
    <mergeCell ref="K52:K53"/>
    <mergeCell ref="M52:T53"/>
    <mergeCell ref="B54:H54"/>
    <mergeCell ref="I54:J54"/>
    <mergeCell ref="B55:H55"/>
    <mergeCell ref="I55:J55"/>
    <mergeCell ref="A63:A65"/>
    <mergeCell ref="B63:F63"/>
    <mergeCell ref="G63:J63"/>
    <mergeCell ref="K63:K65"/>
    <mergeCell ref="B64:D64"/>
    <mergeCell ref="G64:J64"/>
    <mergeCell ref="B65:D65"/>
    <mergeCell ref="G65:J65"/>
    <mergeCell ref="A59:H59"/>
    <mergeCell ref="I59:J59"/>
    <mergeCell ref="A60:K60"/>
    <mergeCell ref="A61:K61"/>
    <mergeCell ref="A66:A68"/>
    <mergeCell ref="B66:F66"/>
    <mergeCell ref="G66:J66"/>
    <mergeCell ref="K66:K68"/>
    <mergeCell ref="M66:T68"/>
    <mergeCell ref="B67:E67"/>
    <mergeCell ref="G67:J67"/>
    <mergeCell ref="B68:E68"/>
    <mergeCell ref="G68:J68"/>
    <mergeCell ref="A72:A74"/>
    <mergeCell ref="B72:F72"/>
    <mergeCell ref="G72:J72"/>
    <mergeCell ref="K72:K74"/>
    <mergeCell ref="B73:F73"/>
    <mergeCell ref="G73:J73"/>
    <mergeCell ref="B74:F74"/>
    <mergeCell ref="G74:J74"/>
    <mergeCell ref="A69:A71"/>
    <mergeCell ref="B69:F69"/>
    <mergeCell ref="G69:J69"/>
    <mergeCell ref="B70:F70"/>
    <mergeCell ref="G70:J70"/>
    <mergeCell ref="K70:K71"/>
    <mergeCell ref="B71:F71"/>
    <mergeCell ref="G71:J71"/>
    <mergeCell ref="A75:A77"/>
    <mergeCell ref="B75:F75"/>
    <mergeCell ref="G75:J75"/>
    <mergeCell ref="K75:K77"/>
    <mergeCell ref="M75:T77"/>
    <mergeCell ref="B76:E76"/>
    <mergeCell ref="G76:J76"/>
    <mergeCell ref="B77:E77"/>
    <mergeCell ref="G77:J77"/>
    <mergeCell ref="A81:A83"/>
    <mergeCell ref="B81:F81"/>
    <mergeCell ref="G81:J81"/>
    <mergeCell ref="K81:K83"/>
    <mergeCell ref="B82:F82"/>
    <mergeCell ref="G82:J82"/>
    <mergeCell ref="B83:F83"/>
    <mergeCell ref="G83:J83"/>
    <mergeCell ref="A78:A80"/>
    <mergeCell ref="B78:F78"/>
    <mergeCell ref="G78:J78"/>
    <mergeCell ref="K78:K80"/>
    <mergeCell ref="B79:E79"/>
    <mergeCell ref="G79:J79"/>
    <mergeCell ref="B80:E80"/>
    <mergeCell ref="G80:J80"/>
    <mergeCell ref="B87:J87"/>
    <mergeCell ref="A88:J88"/>
    <mergeCell ref="A89:J89"/>
    <mergeCell ref="A90:K90"/>
    <mergeCell ref="A91:K91"/>
    <mergeCell ref="M91:T92"/>
    <mergeCell ref="A92:J92"/>
    <mergeCell ref="A84:A86"/>
    <mergeCell ref="B84:F84"/>
    <mergeCell ref="G84:J84"/>
    <mergeCell ref="K84:K86"/>
    <mergeCell ref="B85:F85"/>
    <mergeCell ref="G85:J85"/>
    <mergeCell ref="B86:F86"/>
    <mergeCell ref="G86:J86"/>
    <mergeCell ref="B98:G98"/>
    <mergeCell ref="H98:J98"/>
    <mergeCell ref="B99:G99"/>
    <mergeCell ref="H99:J99"/>
    <mergeCell ref="B100:G100"/>
    <mergeCell ref="H100:J100"/>
    <mergeCell ref="A93:J93"/>
    <mergeCell ref="M93:T94"/>
    <mergeCell ref="A94:J94"/>
    <mergeCell ref="A95:G95"/>
    <mergeCell ref="H95:J95"/>
    <mergeCell ref="M95:T100"/>
    <mergeCell ref="B96:G96"/>
    <mergeCell ref="H96:J96"/>
    <mergeCell ref="B97:G97"/>
    <mergeCell ref="H97:J97"/>
    <mergeCell ref="A107:J107"/>
    <mergeCell ref="A108:J108"/>
    <mergeCell ref="A109:G109"/>
    <mergeCell ref="H109:J109"/>
    <mergeCell ref="B110:G110"/>
    <mergeCell ref="H110:J110"/>
    <mergeCell ref="B101:G101"/>
    <mergeCell ref="H101:J101"/>
    <mergeCell ref="M101:T102"/>
    <mergeCell ref="A102:G102"/>
    <mergeCell ref="H102:J102"/>
    <mergeCell ref="A103:K103"/>
    <mergeCell ref="M103:T107"/>
    <mergeCell ref="A104:K104"/>
    <mergeCell ref="A105:K105"/>
    <mergeCell ref="A106:J106"/>
    <mergeCell ref="A113:A114"/>
    <mergeCell ref="B113:J113"/>
    <mergeCell ref="K113:K114"/>
    <mergeCell ref="M113:T114"/>
    <mergeCell ref="B114:G114"/>
    <mergeCell ref="H114:J114"/>
    <mergeCell ref="A111:A112"/>
    <mergeCell ref="B111:J111"/>
    <mergeCell ref="K111:K112"/>
    <mergeCell ref="M111:T112"/>
    <mergeCell ref="F112:G112"/>
    <mergeCell ref="H112:J112"/>
    <mergeCell ref="H118:J118"/>
    <mergeCell ref="B119:J119"/>
    <mergeCell ref="M119:T120"/>
    <mergeCell ref="B120:G120"/>
    <mergeCell ref="H120:J120"/>
    <mergeCell ref="B121:G121"/>
    <mergeCell ref="H121:J121"/>
    <mergeCell ref="A115:A116"/>
    <mergeCell ref="B115:J115"/>
    <mergeCell ref="K115:K116"/>
    <mergeCell ref="M115:T118"/>
    <mergeCell ref="B116:G116"/>
    <mergeCell ref="H116:J116"/>
    <mergeCell ref="A117:A118"/>
    <mergeCell ref="B117:J117"/>
    <mergeCell ref="K117:K118"/>
    <mergeCell ref="B118:G118"/>
    <mergeCell ref="A127:J127"/>
    <mergeCell ref="A128:K128"/>
    <mergeCell ref="A129:J129"/>
    <mergeCell ref="A130:K130"/>
    <mergeCell ref="A131:K131"/>
    <mergeCell ref="B132:J132"/>
    <mergeCell ref="A122:G122"/>
    <mergeCell ref="H122:J122"/>
    <mergeCell ref="A123:K123"/>
    <mergeCell ref="A124:K124"/>
    <mergeCell ref="A125:J125"/>
    <mergeCell ref="B126:J126"/>
    <mergeCell ref="A139:K139"/>
    <mergeCell ref="A140:K140"/>
    <mergeCell ref="A141:F141"/>
    <mergeCell ref="G141:H141"/>
    <mergeCell ref="I141:J141"/>
    <mergeCell ref="B142:F142"/>
    <mergeCell ref="G142:H142"/>
    <mergeCell ref="I142:J142"/>
    <mergeCell ref="F133:I133"/>
    <mergeCell ref="B134:J134"/>
    <mergeCell ref="A135:J135"/>
    <mergeCell ref="A136:K136"/>
    <mergeCell ref="A137:J137"/>
    <mergeCell ref="A138:K138"/>
    <mergeCell ref="M142:T143"/>
    <mergeCell ref="B143:F143"/>
    <mergeCell ref="G143:H143"/>
    <mergeCell ref="I143:J143"/>
    <mergeCell ref="A144:A151"/>
    <mergeCell ref="B144:C150"/>
    <mergeCell ref="D144:E146"/>
    <mergeCell ref="G144:H144"/>
    <mergeCell ref="I144:J150"/>
    <mergeCell ref="M144:T144"/>
    <mergeCell ref="D150:E150"/>
    <mergeCell ref="G150:H150"/>
    <mergeCell ref="B151:F151"/>
    <mergeCell ref="G151:H151"/>
    <mergeCell ref="I151:J151"/>
    <mergeCell ref="A152:H152"/>
    <mergeCell ref="I152:J152"/>
    <mergeCell ref="G145:H145"/>
    <mergeCell ref="M145:T145"/>
    <mergeCell ref="G146:H146"/>
    <mergeCell ref="M146:T146"/>
    <mergeCell ref="D147:E149"/>
    <mergeCell ref="G147:H148"/>
    <mergeCell ref="K147:K148"/>
    <mergeCell ref="G149:H149"/>
    <mergeCell ref="B159:J159"/>
    <mergeCell ref="B160:J160"/>
    <mergeCell ref="A161:J161"/>
    <mergeCell ref="A162:K162"/>
    <mergeCell ref="A153:K153"/>
    <mergeCell ref="A154:J154"/>
    <mergeCell ref="B155:J155"/>
    <mergeCell ref="B156:J156"/>
    <mergeCell ref="B157:J157"/>
    <mergeCell ref="B158:J1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firstPageNumber="0" fitToHeight="2" orientation="portrait" r:id="rId1"/>
  <headerFooter alignWithMargins="0"/>
  <rowBreaks count="1" manualBreakCount="1">
    <brk id="9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view="pageBreakPreview" zoomScaleNormal="100" zoomScaleSheetLayoutView="100" workbookViewId="0">
      <selection activeCell="E6" sqref="E6"/>
    </sheetView>
  </sheetViews>
  <sheetFormatPr defaultColWidth="8.7109375" defaultRowHeight="15" x14ac:dyDescent="0.25"/>
  <cols>
    <col min="1" max="1" width="7.140625" style="110" customWidth="1"/>
    <col min="2" max="2" width="56.28515625" style="110" customWidth="1"/>
    <col min="3" max="4" width="13.140625" style="110" customWidth="1"/>
    <col min="5" max="6" width="13" style="110" customWidth="1"/>
    <col min="7" max="7" width="18.28515625" style="110" customWidth="1"/>
    <col min="8" max="8" width="13.140625" style="110" customWidth="1"/>
    <col min="9" max="16384" width="8.7109375" style="110"/>
  </cols>
  <sheetData>
    <row r="1" spans="1:8" ht="15.75" x14ac:dyDescent="0.25">
      <c r="A1" s="565" t="s">
        <v>583</v>
      </c>
      <c r="B1" s="565"/>
      <c r="C1" s="565"/>
      <c r="D1" s="565"/>
      <c r="E1" s="565"/>
      <c r="F1" s="565"/>
      <c r="G1" s="565"/>
    </row>
    <row r="2" spans="1:8" x14ac:dyDescent="0.25">
      <c r="A2" s="570" t="s">
        <v>262</v>
      </c>
      <c r="B2" s="570" t="s">
        <v>379</v>
      </c>
      <c r="C2" s="570" t="s">
        <v>261</v>
      </c>
      <c r="D2" s="573" t="s">
        <v>267</v>
      </c>
      <c r="E2" s="566" t="s">
        <v>134</v>
      </c>
      <c r="F2" s="566" t="s">
        <v>273</v>
      </c>
      <c r="G2" s="566" t="s">
        <v>138</v>
      </c>
    </row>
    <row r="3" spans="1:8" x14ac:dyDescent="0.25">
      <c r="A3" s="571"/>
      <c r="B3" s="571"/>
      <c r="C3" s="571"/>
      <c r="D3" s="574"/>
      <c r="E3" s="567"/>
      <c r="F3" s="567"/>
      <c r="G3" s="567"/>
    </row>
    <row r="4" spans="1:8" x14ac:dyDescent="0.25">
      <c r="A4" s="572"/>
      <c r="B4" s="572"/>
      <c r="C4" s="572"/>
      <c r="D4" s="575"/>
      <c r="E4" s="568"/>
      <c r="F4" s="568"/>
      <c r="G4" s="568"/>
    </row>
    <row r="5" spans="1:8" x14ac:dyDescent="0.25">
      <c r="A5" s="274">
        <v>1</v>
      </c>
      <c r="B5" s="154" t="s">
        <v>268</v>
      </c>
      <c r="C5" s="276" t="s">
        <v>261</v>
      </c>
      <c r="D5" s="274">
        <v>4</v>
      </c>
      <c r="E5" s="155">
        <v>15.73</v>
      </c>
      <c r="F5" s="156">
        <v>6</v>
      </c>
      <c r="G5" s="157">
        <f>(D5*E5)/F5</f>
        <v>10.486666666666666</v>
      </c>
      <c r="H5" s="164"/>
    </row>
    <row r="6" spans="1:8" ht="30" x14ac:dyDescent="0.25">
      <c r="A6" s="274">
        <v>2</v>
      </c>
      <c r="B6" s="154" t="s">
        <v>269</v>
      </c>
      <c r="C6" s="276" t="s">
        <v>261</v>
      </c>
      <c r="D6" s="274">
        <v>4</v>
      </c>
      <c r="E6" s="155">
        <v>41</v>
      </c>
      <c r="F6" s="156">
        <v>6</v>
      </c>
      <c r="G6" s="157">
        <f>(D6*E6)/F6</f>
        <v>27.333333333333332</v>
      </c>
    </row>
    <row r="7" spans="1:8" ht="30" x14ac:dyDescent="0.25">
      <c r="A7" s="274">
        <v>3</v>
      </c>
      <c r="B7" s="154" t="s">
        <v>270</v>
      </c>
      <c r="C7" s="276" t="s">
        <v>261</v>
      </c>
      <c r="D7" s="274">
        <v>3</v>
      </c>
      <c r="E7" s="155">
        <v>39</v>
      </c>
      <c r="F7" s="158">
        <v>6</v>
      </c>
      <c r="G7" s="157">
        <f>(D7*E7)/F7</f>
        <v>19.5</v>
      </c>
    </row>
    <row r="8" spans="1:8" ht="30" x14ac:dyDescent="0.25">
      <c r="A8" s="274">
        <v>4</v>
      </c>
      <c r="B8" s="154" t="s">
        <v>271</v>
      </c>
      <c r="C8" s="276" t="s">
        <v>261</v>
      </c>
      <c r="D8" s="274">
        <v>1</v>
      </c>
      <c r="E8" s="155">
        <v>82.75</v>
      </c>
      <c r="F8" s="158">
        <v>6</v>
      </c>
      <c r="G8" s="157">
        <f>(D8*E8)/F8</f>
        <v>13.791666666666666</v>
      </c>
    </row>
    <row r="9" spans="1:8" x14ac:dyDescent="0.25">
      <c r="A9" s="274">
        <v>5</v>
      </c>
      <c r="B9" s="154" t="s">
        <v>272</v>
      </c>
      <c r="C9" s="276" t="s">
        <v>263</v>
      </c>
      <c r="D9" s="274">
        <v>5</v>
      </c>
      <c r="E9" s="155">
        <v>2.99</v>
      </c>
      <c r="F9" s="158">
        <v>6</v>
      </c>
      <c r="G9" s="157">
        <f>(D9*E9)/F9</f>
        <v>2.4916666666666667</v>
      </c>
    </row>
    <row r="10" spans="1:8" x14ac:dyDescent="0.25">
      <c r="A10" s="569" t="s">
        <v>280</v>
      </c>
      <c r="B10" s="569"/>
      <c r="C10" s="569"/>
      <c r="D10" s="569"/>
      <c r="E10" s="569"/>
      <c r="F10" s="569"/>
      <c r="G10" s="159">
        <f>SUM(G5:G9)</f>
        <v>73.603333333333325</v>
      </c>
    </row>
    <row r="11" spans="1:8" x14ac:dyDescent="0.25">
      <c r="A11" s="160"/>
      <c r="B11" s="161"/>
      <c r="C11" s="160"/>
      <c r="D11" s="160"/>
      <c r="E11" s="162"/>
      <c r="F11" s="162"/>
      <c r="G11" s="162"/>
    </row>
    <row r="12" spans="1:8" x14ac:dyDescent="0.25">
      <c r="A12" s="163"/>
      <c r="B12" s="161"/>
      <c r="C12" s="160"/>
      <c r="D12" s="160"/>
      <c r="E12" s="162"/>
      <c r="F12" s="162"/>
      <c r="G12" s="162"/>
    </row>
    <row r="13" spans="1:8" x14ac:dyDescent="0.25">
      <c r="A13" s="163"/>
      <c r="B13" s="161"/>
      <c r="C13" s="160"/>
      <c r="D13" s="160"/>
      <c r="E13" s="162"/>
      <c r="F13" s="162"/>
      <c r="G13" s="162"/>
    </row>
    <row r="14" spans="1:8" x14ac:dyDescent="0.25">
      <c r="A14" s="364" t="s">
        <v>295</v>
      </c>
      <c r="B14" s="364"/>
      <c r="C14" s="364"/>
      <c r="D14" s="364"/>
      <c r="E14" s="364"/>
      <c r="F14" s="364"/>
      <c r="G14" s="364"/>
    </row>
  </sheetData>
  <sheetProtection algorithmName="SHA-512" hashValue="VfiF32Yyh4a4sY64pN/va9HlceTeqfvDyMJjsHgEoCVcdTPQemqhy1f0wT6HpNFOhkZ8WBWSq1X0FeqMsej/og==" saltValue="VIhLdjBkhd0uEGlYfSsWhQ==" spinCount="100000" sheet="1" selectLockedCells="1"/>
  <mergeCells count="10">
    <mergeCell ref="A14:G14"/>
    <mergeCell ref="A1:G1"/>
    <mergeCell ref="F2:F4"/>
    <mergeCell ref="E2:E4"/>
    <mergeCell ref="G2:G4"/>
    <mergeCell ref="A10:F10"/>
    <mergeCell ref="A2:A4"/>
    <mergeCell ref="B2:B4"/>
    <mergeCell ref="C2:C4"/>
    <mergeCell ref="D2:D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9"/>
  <sheetViews>
    <sheetView view="pageBreakPreview" zoomScaleNormal="100" zoomScaleSheetLayoutView="100" workbookViewId="0">
      <selection activeCell="F13" sqref="F13"/>
    </sheetView>
  </sheetViews>
  <sheetFormatPr defaultColWidth="10.42578125" defaultRowHeight="15" x14ac:dyDescent="0.25"/>
  <cols>
    <col min="1" max="1" width="10.5703125" style="110" bestFit="1" customWidth="1"/>
    <col min="2" max="2" width="57" style="110" customWidth="1"/>
    <col min="3" max="3" width="14.7109375" style="110" customWidth="1"/>
    <col min="4" max="5" width="10.5703125" style="110" bestFit="1" customWidth="1"/>
    <col min="6" max="6" width="16.7109375" style="110" customWidth="1"/>
    <col min="7" max="7" width="19.7109375" style="110" customWidth="1"/>
    <col min="8" max="16384" width="10.42578125" style="110"/>
  </cols>
  <sheetData>
    <row r="1" spans="1:7" x14ac:dyDescent="0.25">
      <c r="A1" s="576" t="s">
        <v>279</v>
      </c>
      <c r="B1" s="576"/>
      <c r="C1" s="576"/>
      <c r="D1" s="576"/>
      <c r="E1" s="576"/>
      <c r="F1" s="576"/>
      <c r="G1" s="576"/>
    </row>
    <row r="2" spans="1:7" x14ac:dyDescent="0.25">
      <c r="A2" s="570" t="s">
        <v>262</v>
      </c>
      <c r="B2" s="570" t="s">
        <v>508</v>
      </c>
      <c r="C2" s="570" t="s">
        <v>261</v>
      </c>
      <c r="D2" s="573" t="s">
        <v>282</v>
      </c>
      <c r="E2" s="573" t="s">
        <v>267</v>
      </c>
      <c r="F2" s="566" t="s">
        <v>281</v>
      </c>
      <c r="G2" s="566" t="s">
        <v>138</v>
      </c>
    </row>
    <row r="3" spans="1:7" x14ac:dyDescent="0.25">
      <c r="A3" s="571"/>
      <c r="B3" s="571"/>
      <c r="C3" s="571"/>
      <c r="D3" s="574"/>
      <c r="E3" s="574"/>
      <c r="F3" s="567"/>
      <c r="G3" s="567"/>
    </row>
    <row r="4" spans="1:7" x14ac:dyDescent="0.25">
      <c r="A4" s="572"/>
      <c r="B4" s="572"/>
      <c r="C4" s="572"/>
      <c r="D4" s="575"/>
      <c r="E4" s="575"/>
      <c r="F4" s="568"/>
      <c r="G4" s="568"/>
    </row>
    <row r="5" spans="1:7" x14ac:dyDescent="0.25">
      <c r="A5" s="274">
        <v>1</v>
      </c>
      <c r="B5" s="647" t="s">
        <v>496</v>
      </c>
      <c r="C5" s="648" t="s">
        <v>261</v>
      </c>
      <c r="D5" s="276">
        <v>12</v>
      </c>
      <c r="E5" s="274">
        <v>1</v>
      </c>
      <c r="F5" s="646">
        <v>25</v>
      </c>
      <c r="G5" s="165">
        <f>(E5*F5)/D5</f>
        <v>2.0833333333333335</v>
      </c>
    </row>
    <row r="6" spans="1:7" x14ac:dyDescent="0.25">
      <c r="A6" s="274">
        <v>2</v>
      </c>
      <c r="B6" s="647" t="s">
        <v>497</v>
      </c>
      <c r="C6" s="649" t="s">
        <v>261</v>
      </c>
      <c r="D6" s="276">
        <v>6</v>
      </c>
      <c r="E6" s="274">
        <v>1</v>
      </c>
      <c r="F6" s="646">
        <v>5.5</v>
      </c>
      <c r="G6" s="165">
        <f t="shared" ref="G6:G16" si="0">(E6*F6)/D6</f>
        <v>0.91666666666666663</v>
      </c>
    </row>
    <row r="7" spans="1:7" x14ac:dyDescent="0.25">
      <c r="A7" s="274">
        <v>3</v>
      </c>
      <c r="B7" s="647" t="s">
        <v>274</v>
      </c>
      <c r="C7" s="649" t="s">
        <v>261</v>
      </c>
      <c r="D7" s="276">
        <v>6</v>
      </c>
      <c r="E7" s="274">
        <v>1</v>
      </c>
      <c r="F7" s="646">
        <v>10.3</v>
      </c>
      <c r="G7" s="165">
        <f t="shared" si="0"/>
        <v>1.7166666666666668</v>
      </c>
    </row>
    <row r="8" spans="1:7" x14ac:dyDescent="0.25">
      <c r="A8" s="274">
        <v>4</v>
      </c>
      <c r="B8" s="647" t="s">
        <v>498</v>
      </c>
      <c r="C8" s="649" t="s">
        <v>261</v>
      </c>
      <c r="D8" s="276">
        <v>2</v>
      </c>
      <c r="E8" s="274">
        <v>6</v>
      </c>
      <c r="F8" s="646">
        <v>1.48</v>
      </c>
      <c r="G8" s="165">
        <f t="shared" si="0"/>
        <v>4.4399999999999995</v>
      </c>
    </row>
    <row r="9" spans="1:7" x14ac:dyDescent="0.25">
      <c r="A9" s="274">
        <v>5</v>
      </c>
      <c r="B9" s="647" t="s">
        <v>275</v>
      </c>
      <c r="C9" s="649" t="s">
        <v>503</v>
      </c>
      <c r="D9" s="276">
        <v>2</v>
      </c>
      <c r="E9" s="274">
        <v>1</v>
      </c>
      <c r="F9" s="646">
        <v>9.75</v>
      </c>
      <c r="G9" s="165">
        <f t="shared" si="0"/>
        <v>4.875</v>
      </c>
    </row>
    <row r="10" spans="1:7" x14ac:dyDescent="0.25">
      <c r="A10" s="274">
        <v>6</v>
      </c>
      <c r="B10" s="647" t="s">
        <v>499</v>
      </c>
      <c r="C10" s="649" t="s">
        <v>263</v>
      </c>
      <c r="D10" s="276">
        <v>6</v>
      </c>
      <c r="E10" s="274">
        <v>1</v>
      </c>
      <c r="F10" s="646">
        <v>45</v>
      </c>
      <c r="G10" s="165">
        <f t="shared" si="0"/>
        <v>7.5</v>
      </c>
    </row>
    <row r="11" spans="1:7" x14ac:dyDescent="0.25">
      <c r="A11" s="274">
        <v>7</v>
      </c>
      <c r="B11" s="647" t="s">
        <v>500</v>
      </c>
      <c r="C11" s="649" t="s">
        <v>261</v>
      </c>
      <c r="D11" s="276">
        <v>30</v>
      </c>
      <c r="E11" s="274">
        <v>1</v>
      </c>
      <c r="F11" s="646">
        <v>152.59</v>
      </c>
      <c r="G11" s="165">
        <f t="shared" si="0"/>
        <v>5.0863333333333332</v>
      </c>
    </row>
    <row r="12" spans="1:7" x14ac:dyDescent="0.25">
      <c r="A12" s="274">
        <v>8</v>
      </c>
      <c r="B12" s="647" t="s">
        <v>276</v>
      </c>
      <c r="C12" s="649" t="s">
        <v>263</v>
      </c>
      <c r="D12" s="276">
        <v>6</v>
      </c>
      <c r="E12" s="274">
        <v>2</v>
      </c>
      <c r="F12" s="646">
        <v>25.33</v>
      </c>
      <c r="G12" s="165">
        <f t="shared" si="0"/>
        <v>8.4433333333333334</v>
      </c>
    </row>
    <row r="13" spans="1:7" x14ac:dyDescent="0.25">
      <c r="A13" s="274">
        <v>9</v>
      </c>
      <c r="B13" s="647" t="s">
        <v>501</v>
      </c>
      <c r="C13" s="649" t="s">
        <v>263</v>
      </c>
      <c r="D13" s="276">
        <v>30</v>
      </c>
      <c r="E13" s="274">
        <v>1</v>
      </c>
      <c r="F13" s="646">
        <v>277.77999999999997</v>
      </c>
      <c r="G13" s="165">
        <f t="shared" si="0"/>
        <v>9.2593333333333323</v>
      </c>
    </row>
    <row r="14" spans="1:7" x14ac:dyDescent="0.25">
      <c r="A14" s="274">
        <v>10</v>
      </c>
      <c r="B14" s="647" t="s">
        <v>502</v>
      </c>
      <c r="C14" s="649" t="s">
        <v>263</v>
      </c>
      <c r="D14" s="276">
        <v>2</v>
      </c>
      <c r="E14" s="274">
        <v>6</v>
      </c>
      <c r="F14" s="646">
        <v>13.99</v>
      </c>
      <c r="G14" s="165">
        <f t="shared" si="0"/>
        <v>41.97</v>
      </c>
    </row>
    <row r="15" spans="1:7" x14ac:dyDescent="0.25">
      <c r="A15" s="274">
        <v>11</v>
      </c>
      <c r="B15" s="647" t="s">
        <v>277</v>
      </c>
      <c r="C15" s="649" t="s">
        <v>263</v>
      </c>
      <c r="D15" s="276">
        <v>4</v>
      </c>
      <c r="E15" s="274">
        <v>3</v>
      </c>
      <c r="F15" s="646">
        <v>13.62</v>
      </c>
      <c r="G15" s="165">
        <f t="shared" si="0"/>
        <v>10.215</v>
      </c>
    </row>
    <row r="16" spans="1:7" x14ac:dyDescent="0.25">
      <c r="A16" s="274">
        <v>12</v>
      </c>
      <c r="B16" s="647" t="s">
        <v>278</v>
      </c>
      <c r="C16" s="649" t="s">
        <v>261</v>
      </c>
      <c r="D16" s="276">
        <v>1</v>
      </c>
      <c r="E16" s="274">
        <v>1</v>
      </c>
      <c r="F16" s="646">
        <v>5</v>
      </c>
      <c r="G16" s="165">
        <f t="shared" si="0"/>
        <v>5</v>
      </c>
    </row>
    <row r="17" spans="1:7" x14ac:dyDescent="0.25">
      <c r="A17" s="577" t="s">
        <v>474</v>
      </c>
      <c r="B17" s="578"/>
      <c r="C17" s="578"/>
      <c r="D17" s="578"/>
      <c r="E17" s="578"/>
      <c r="F17" s="579"/>
      <c r="G17" s="166">
        <f>SUM(G5:G16)</f>
        <v>101.50566666666666</v>
      </c>
    </row>
    <row r="18" spans="1:7" x14ac:dyDescent="0.25">
      <c r="A18" s="160"/>
      <c r="B18" s="161"/>
      <c r="C18" s="160"/>
      <c r="D18" s="160"/>
      <c r="E18" s="160"/>
      <c r="F18" s="162"/>
      <c r="G18" s="162"/>
    </row>
    <row r="19" spans="1:7" x14ac:dyDescent="0.25">
      <c r="A19" s="580" t="s">
        <v>295</v>
      </c>
      <c r="B19" s="581"/>
      <c r="C19" s="581"/>
      <c r="D19" s="581"/>
      <c r="E19" s="581"/>
      <c r="F19" s="581"/>
      <c r="G19" s="582"/>
    </row>
  </sheetData>
  <sheetProtection algorithmName="SHA-512" hashValue="TbrVggxI3qouS7fYDI1GNa6o5U1b9XVsslut5a3EByhTAeYt8ERWk2OfcQTzdpaMe18SgF8Jd/3Ybhd+OXpw8Q==" saltValue="fZMKRNC2tht3GvEJ6T2/aw==" spinCount="100000" sheet="1" selectLockedCells="1"/>
  <mergeCells count="10">
    <mergeCell ref="A1:G1"/>
    <mergeCell ref="D2:D4"/>
    <mergeCell ref="A17:F17"/>
    <mergeCell ref="A19:G19"/>
    <mergeCell ref="F2:F4"/>
    <mergeCell ref="G2:G4"/>
    <mergeCell ref="A2:A4"/>
    <mergeCell ref="B2:B4"/>
    <mergeCell ref="C2:C4"/>
    <mergeCell ref="E2:E4"/>
  </mergeCells>
  <pageMargins left="0.51181102362204722" right="0.51181102362204722" top="0.78740157480314965" bottom="0.78740157480314965" header="0.31496062992125984" footer="0.31496062992125984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7"/>
  <sheetViews>
    <sheetView showGridLines="0" view="pageBreakPreview" zoomScaleNormal="100" zoomScaleSheetLayoutView="100" workbookViewId="0">
      <selection activeCell="F3" sqref="F3"/>
    </sheetView>
  </sheetViews>
  <sheetFormatPr defaultColWidth="8.7109375" defaultRowHeight="15" x14ac:dyDescent="0.25"/>
  <cols>
    <col min="1" max="1" width="6.28515625" style="110" customWidth="1"/>
    <col min="2" max="2" width="72" style="110" customWidth="1"/>
    <col min="3" max="3" width="11.28515625" style="110" customWidth="1"/>
    <col min="4" max="4" width="24.140625" style="110" customWidth="1"/>
    <col min="5" max="5" width="13" style="110" customWidth="1"/>
    <col min="6" max="6" width="14.28515625" style="110" customWidth="1"/>
    <col min="7" max="7" width="13.5703125" style="110" hidden="1" customWidth="1"/>
    <col min="8" max="8" width="19.140625" style="110" customWidth="1"/>
    <col min="9" max="16384" width="8.7109375" style="110"/>
  </cols>
  <sheetData>
    <row r="1" spans="1:8" x14ac:dyDescent="0.25">
      <c r="A1" s="583" t="s">
        <v>287</v>
      </c>
      <c r="B1" s="584"/>
      <c r="C1" s="584"/>
      <c r="D1" s="584"/>
      <c r="E1" s="584"/>
      <c r="F1" s="584"/>
      <c r="G1" s="584"/>
      <c r="H1" s="585"/>
    </row>
    <row r="2" spans="1:8" ht="49.5" customHeight="1" x14ac:dyDescent="0.25">
      <c r="A2" s="275" t="s">
        <v>262</v>
      </c>
      <c r="B2" s="275" t="s">
        <v>379</v>
      </c>
      <c r="C2" s="275" t="s">
        <v>266</v>
      </c>
      <c r="D2" s="275" t="s">
        <v>261</v>
      </c>
      <c r="E2" s="275" t="s">
        <v>507</v>
      </c>
      <c r="F2" s="275" t="s">
        <v>134</v>
      </c>
      <c r="G2" s="275" t="s">
        <v>284</v>
      </c>
      <c r="H2" s="275" t="s">
        <v>432</v>
      </c>
    </row>
    <row r="3" spans="1:8" x14ac:dyDescent="0.25">
      <c r="A3" s="276">
        <v>1</v>
      </c>
      <c r="B3" s="650" t="s">
        <v>510</v>
      </c>
      <c r="C3" s="189">
        <v>412968</v>
      </c>
      <c r="D3" s="189" t="s">
        <v>511</v>
      </c>
      <c r="E3" s="189">
        <v>6</v>
      </c>
      <c r="F3" s="657">
        <v>24.14</v>
      </c>
      <c r="G3" s="651">
        <f t="shared" ref="G3:G48" si="0">ROUND(E3*F3,2)</f>
        <v>144.84</v>
      </c>
      <c r="H3" s="168">
        <f t="shared" ref="H3:H48" si="1">ROUND(F3*E3,2)</f>
        <v>144.84</v>
      </c>
    </row>
    <row r="4" spans="1:8" x14ac:dyDescent="0.25">
      <c r="A4" s="276">
        <v>2</v>
      </c>
      <c r="B4" s="652" t="s">
        <v>394</v>
      </c>
      <c r="C4" s="186">
        <v>36870</v>
      </c>
      <c r="D4" s="186" t="s">
        <v>261</v>
      </c>
      <c r="E4" s="186">
        <v>3</v>
      </c>
      <c r="F4" s="657">
        <v>150.86000000000001</v>
      </c>
      <c r="G4" s="651">
        <f t="shared" si="0"/>
        <v>452.58</v>
      </c>
      <c r="H4" s="168">
        <f t="shared" si="1"/>
        <v>452.58</v>
      </c>
    </row>
    <row r="5" spans="1:8" x14ac:dyDescent="0.25">
      <c r="A5" s="276">
        <v>3</v>
      </c>
      <c r="B5" s="650" t="s">
        <v>395</v>
      </c>
      <c r="C5" s="189">
        <v>235936</v>
      </c>
      <c r="D5" s="189" t="s">
        <v>261</v>
      </c>
      <c r="E5" s="189">
        <v>12</v>
      </c>
      <c r="F5" s="657">
        <v>17.84</v>
      </c>
      <c r="G5" s="651">
        <f t="shared" si="0"/>
        <v>214.08</v>
      </c>
      <c r="H5" s="168">
        <f t="shared" si="1"/>
        <v>214.08</v>
      </c>
    </row>
    <row r="6" spans="1:8" x14ac:dyDescent="0.25">
      <c r="A6" s="276">
        <v>4</v>
      </c>
      <c r="B6" s="650" t="s">
        <v>513</v>
      </c>
      <c r="C6" s="189">
        <v>277912</v>
      </c>
      <c r="D6" s="189" t="s">
        <v>512</v>
      </c>
      <c r="E6" s="189">
        <v>2</v>
      </c>
      <c r="F6" s="657">
        <v>23.22</v>
      </c>
      <c r="G6" s="651">
        <f t="shared" si="0"/>
        <v>46.44</v>
      </c>
      <c r="H6" s="168">
        <f t="shared" si="1"/>
        <v>46.44</v>
      </c>
    </row>
    <row r="7" spans="1:8" x14ac:dyDescent="0.25">
      <c r="A7" s="276">
        <v>5</v>
      </c>
      <c r="B7" s="650" t="s">
        <v>396</v>
      </c>
      <c r="C7" s="189">
        <v>240067</v>
      </c>
      <c r="D7" s="189" t="s">
        <v>397</v>
      </c>
      <c r="E7" s="189">
        <v>50</v>
      </c>
      <c r="F7" s="657">
        <v>12.38</v>
      </c>
      <c r="G7" s="651">
        <f t="shared" si="0"/>
        <v>619</v>
      </c>
      <c r="H7" s="168">
        <f t="shared" si="1"/>
        <v>619</v>
      </c>
    </row>
    <row r="8" spans="1:8" x14ac:dyDescent="0.25">
      <c r="A8" s="276">
        <v>6</v>
      </c>
      <c r="B8" s="653" t="s">
        <v>516</v>
      </c>
      <c r="C8" s="186">
        <v>369411</v>
      </c>
      <c r="D8" s="186" t="s">
        <v>261</v>
      </c>
      <c r="E8" s="186">
        <v>2</v>
      </c>
      <c r="F8" s="657">
        <v>343.89</v>
      </c>
      <c r="G8" s="651">
        <f t="shared" si="0"/>
        <v>687.78</v>
      </c>
      <c r="H8" s="168">
        <f t="shared" si="1"/>
        <v>687.78</v>
      </c>
    </row>
    <row r="9" spans="1:8" x14ac:dyDescent="0.25">
      <c r="A9" s="276">
        <v>7</v>
      </c>
      <c r="B9" s="653" t="s">
        <v>398</v>
      </c>
      <c r="C9" s="186">
        <v>347749</v>
      </c>
      <c r="D9" s="186" t="s">
        <v>261</v>
      </c>
      <c r="E9" s="186">
        <v>2</v>
      </c>
      <c r="F9" s="657">
        <v>49.44</v>
      </c>
      <c r="G9" s="651">
        <f t="shared" si="0"/>
        <v>98.88</v>
      </c>
      <c r="H9" s="168">
        <f t="shared" si="1"/>
        <v>98.88</v>
      </c>
    </row>
    <row r="10" spans="1:8" x14ac:dyDescent="0.25">
      <c r="A10" s="276">
        <v>8</v>
      </c>
      <c r="B10" s="650" t="s">
        <v>514</v>
      </c>
      <c r="C10" s="189">
        <v>441073</v>
      </c>
      <c r="D10" s="189" t="s">
        <v>261</v>
      </c>
      <c r="E10" s="189">
        <v>1</v>
      </c>
      <c r="F10" s="657">
        <v>72.099999999999994</v>
      </c>
      <c r="G10" s="651">
        <f t="shared" si="0"/>
        <v>72.099999999999994</v>
      </c>
      <c r="H10" s="168">
        <f t="shared" si="1"/>
        <v>72.099999999999994</v>
      </c>
    </row>
    <row r="11" spans="1:8" x14ac:dyDescent="0.25">
      <c r="A11" s="276">
        <v>9</v>
      </c>
      <c r="B11" s="650" t="s">
        <v>521</v>
      </c>
      <c r="C11" s="189">
        <v>472187</v>
      </c>
      <c r="D11" s="654" t="s">
        <v>261</v>
      </c>
      <c r="E11" s="189">
        <v>2</v>
      </c>
      <c r="F11" s="657">
        <v>45.9</v>
      </c>
      <c r="G11" s="651">
        <f t="shared" si="0"/>
        <v>91.8</v>
      </c>
      <c r="H11" s="168">
        <f t="shared" si="1"/>
        <v>91.8</v>
      </c>
    </row>
    <row r="12" spans="1:8" x14ac:dyDescent="0.25">
      <c r="A12" s="276">
        <v>10</v>
      </c>
      <c r="B12" s="650" t="s">
        <v>509</v>
      </c>
      <c r="C12" s="189">
        <v>449124</v>
      </c>
      <c r="D12" s="189" t="s">
        <v>261</v>
      </c>
      <c r="E12" s="189">
        <v>32</v>
      </c>
      <c r="F12" s="657">
        <v>55.77</v>
      </c>
      <c r="G12" s="651">
        <f t="shared" si="0"/>
        <v>1784.64</v>
      </c>
      <c r="H12" s="168">
        <f t="shared" si="1"/>
        <v>1784.64</v>
      </c>
    </row>
    <row r="13" spans="1:8" x14ac:dyDescent="0.25">
      <c r="A13" s="276">
        <v>11</v>
      </c>
      <c r="B13" s="650" t="s">
        <v>399</v>
      </c>
      <c r="C13" s="189">
        <v>269826</v>
      </c>
      <c r="D13" s="189" t="s">
        <v>261</v>
      </c>
      <c r="E13" s="189">
        <v>8</v>
      </c>
      <c r="F13" s="657">
        <v>11.6</v>
      </c>
      <c r="G13" s="651">
        <f t="shared" si="0"/>
        <v>92.8</v>
      </c>
      <c r="H13" s="168">
        <f t="shared" si="1"/>
        <v>92.8</v>
      </c>
    </row>
    <row r="14" spans="1:8" x14ac:dyDescent="0.25">
      <c r="A14" s="276">
        <v>12</v>
      </c>
      <c r="B14" s="650" t="s">
        <v>400</v>
      </c>
      <c r="C14" s="189">
        <v>263256</v>
      </c>
      <c r="D14" s="189" t="s">
        <v>261</v>
      </c>
      <c r="E14" s="189">
        <v>8</v>
      </c>
      <c r="F14" s="657">
        <v>28.28</v>
      </c>
      <c r="G14" s="651">
        <f t="shared" si="0"/>
        <v>226.24</v>
      </c>
      <c r="H14" s="168">
        <f t="shared" si="1"/>
        <v>226.24</v>
      </c>
    </row>
    <row r="15" spans="1:8" x14ac:dyDescent="0.25">
      <c r="A15" s="276">
        <v>13</v>
      </c>
      <c r="B15" s="650" t="s">
        <v>401</v>
      </c>
      <c r="C15" s="189">
        <v>263259</v>
      </c>
      <c r="D15" s="189" t="s">
        <v>261</v>
      </c>
      <c r="E15" s="189">
        <v>80</v>
      </c>
      <c r="F15" s="657">
        <v>9.59</v>
      </c>
      <c r="G15" s="651">
        <f t="shared" si="0"/>
        <v>767.2</v>
      </c>
      <c r="H15" s="168">
        <f t="shared" si="1"/>
        <v>767.2</v>
      </c>
    </row>
    <row r="16" spans="1:8" x14ac:dyDescent="0.25">
      <c r="A16" s="276">
        <v>14</v>
      </c>
      <c r="B16" s="650" t="s">
        <v>402</v>
      </c>
      <c r="C16" s="189">
        <v>250902</v>
      </c>
      <c r="D16" s="189" t="s">
        <v>261</v>
      </c>
      <c r="E16" s="189">
        <v>8</v>
      </c>
      <c r="F16" s="657">
        <v>52.43</v>
      </c>
      <c r="G16" s="651">
        <f t="shared" si="0"/>
        <v>419.44</v>
      </c>
      <c r="H16" s="168">
        <f t="shared" si="1"/>
        <v>419.44</v>
      </c>
    </row>
    <row r="17" spans="1:8" x14ac:dyDescent="0.25">
      <c r="A17" s="276">
        <v>15</v>
      </c>
      <c r="B17" s="650" t="s">
        <v>403</v>
      </c>
      <c r="C17" s="189">
        <v>449153</v>
      </c>
      <c r="D17" s="189" t="s">
        <v>261</v>
      </c>
      <c r="E17" s="189">
        <v>16</v>
      </c>
      <c r="F17" s="657">
        <v>35.85</v>
      </c>
      <c r="G17" s="651">
        <f t="shared" si="0"/>
        <v>573.6</v>
      </c>
      <c r="H17" s="168">
        <f t="shared" si="1"/>
        <v>573.6</v>
      </c>
    </row>
    <row r="18" spans="1:8" x14ac:dyDescent="0.25">
      <c r="A18" s="276">
        <v>16</v>
      </c>
      <c r="B18" s="650" t="s">
        <v>404</v>
      </c>
      <c r="C18" s="189">
        <v>113220</v>
      </c>
      <c r="D18" s="189" t="s">
        <v>261</v>
      </c>
      <c r="E18" s="189">
        <v>6</v>
      </c>
      <c r="F18" s="657">
        <v>10.19</v>
      </c>
      <c r="G18" s="651">
        <f t="shared" si="0"/>
        <v>61.14</v>
      </c>
      <c r="H18" s="168">
        <f t="shared" si="1"/>
        <v>61.14</v>
      </c>
    </row>
    <row r="19" spans="1:8" x14ac:dyDescent="0.25">
      <c r="A19" s="276">
        <v>17</v>
      </c>
      <c r="B19" s="650" t="s">
        <v>405</v>
      </c>
      <c r="C19" s="189">
        <v>462152</v>
      </c>
      <c r="D19" s="189" t="s">
        <v>261</v>
      </c>
      <c r="E19" s="189">
        <v>2</v>
      </c>
      <c r="F19" s="657">
        <v>22.19</v>
      </c>
      <c r="G19" s="651">
        <f t="shared" si="0"/>
        <v>44.38</v>
      </c>
      <c r="H19" s="168">
        <f t="shared" si="1"/>
        <v>44.38</v>
      </c>
    </row>
    <row r="20" spans="1:8" x14ac:dyDescent="0.25">
      <c r="A20" s="276">
        <v>18</v>
      </c>
      <c r="B20" s="652" t="s">
        <v>406</v>
      </c>
      <c r="C20" s="186">
        <v>15881</v>
      </c>
      <c r="D20" s="186" t="s">
        <v>261</v>
      </c>
      <c r="E20" s="186">
        <v>18</v>
      </c>
      <c r="F20" s="657">
        <v>24.44</v>
      </c>
      <c r="G20" s="651">
        <f t="shared" si="0"/>
        <v>439.92</v>
      </c>
      <c r="H20" s="168">
        <f t="shared" si="1"/>
        <v>439.92</v>
      </c>
    </row>
    <row r="21" spans="1:8" x14ac:dyDescent="0.25">
      <c r="A21" s="276">
        <v>19</v>
      </c>
      <c r="B21" s="652" t="s">
        <v>407</v>
      </c>
      <c r="C21" s="186">
        <v>15881</v>
      </c>
      <c r="D21" s="186" t="s">
        <v>261</v>
      </c>
      <c r="E21" s="186">
        <v>18</v>
      </c>
      <c r="F21" s="657">
        <v>33.1</v>
      </c>
      <c r="G21" s="651">
        <f t="shared" si="0"/>
        <v>595.79999999999995</v>
      </c>
      <c r="H21" s="168">
        <f t="shared" si="1"/>
        <v>595.79999999999995</v>
      </c>
    </row>
    <row r="22" spans="1:8" x14ac:dyDescent="0.25">
      <c r="A22" s="276">
        <v>20</v>
      </c>
      <c r="B22" s="655" t="s">
        <v>408</v>
      </c>
      <c r="C22" s="189">
        <v>344996</v>
      </c>
      <c r="D22" s="654" t="s">
        <v>261</v>
      </c>
      <c r="E22" s="189">
        <v>3</v>
      </c>
      <c r="F22" s="657">
        <v>10</v>
      </c>
      <c r="G22" s="651">
        <f t="shared" si="0"/>
        <v>30</v>
      </c>
      <c r="H22" s="168">
        <f t="shared" si="1"/>
        <v>30</v>
      </c>
    </row>
    <row r="23" spans="1:8" x14ac:dyDescent="0.25">
      <c r="A23" s="276">
        <v>21</v>
      </c>
      <c r="B23" s="656" t="s">
        <v>409</v>
      </c>
      <c r="C23" s="186">
        <v>479584</v>
      </c>
      <c r="D23" s="654" t="s">
        <v>410</v>
      </c>
      <c r="E23" s="186">
        <v>12</v>
      </c>
      <c r="F23" s="657">
        <v>256.17</v>
      </c>
      <c r="G23" s="651">
        <f t="shared" si="0"/>
        <v>3074.04</v>
      </c>
      <c r="H23" s="168">
        <f t="shared" si="1"/>
        <v>3074.04</v>
      </c>
    </row>
    <row r="24" spans="1:8" s="170" customFormat="1" ht="75" x14ac:dyDescent="0.25">
      <c r="A24" s="276">
        <v>22</v>
      </c>
      <c r="B24" s="650" t="s">
        <v>411</v>
      </c>
      <c r="C24" s="186">
        <v>451613</v>
      </c>
      <c r="D24" s="654" t="s">
        <v>412</v>
      </c>
      <c r="E24" s="186">
        <v>90</v>
      </c>
      <c r="F24" s="658">
        <v>19.989999999999998</v>
      </c>
      <c r="G24" s="651">
        <f t="shared" si="0"/>
        <v>1799.1</v>
      </c>
      <c r="H24" s="169">
        <f t="shared" si="1"/>
        <v>1799.1</v>
      </c>
    </row>
    <row r="25" spans="1:8" x14ac:dyDescent="0.25">
      <c r="A25" s="276">
        <v>23</v>
      </c>
      <c r="B25" s="650" t="s">
        <v>522</v>
      </c>
      <c r="C25" s="189">
        <v>399943</v>
      </c>
      <c r="D25" s="189" t="s">
        <v>410</v>
      </c>
      <c r="E25" s="189">
        <v>600</v>
      </c>
      <c r="F25" s="657">
        <v>5.0599999999999996</v>
      </c>
      <c r="G25" s="651">
        <f t="shared" si="0"/>
        <v>3036</v>
      </c>
      <c r="H25" s="168">
        <f t="shared" si="1"/>
        <v>3036</v>
      </c>
    </row>
    <row r="26" spans="1:8" x14ac:dyDescent="0.25">
      <c r="A26" s="276">
        <v>24</v>
      </c>
      <c r="B26" s="650" t="s">
        <v>515</v>
      </c>
      <c r="C26" s="189">
        <v>391988</v>
      </c>
      <c r="D26" s="189" t="s">
        <v>410</v>
      </c>
      <c r="E26" s="189">
        <v>12</v>
      </c>
      <c r="F26" s="657">
        <v>13.72</v>
      </c>
      <c r="G26" s="651">
        <f t="shared" si="0"/>
        <v>164.64</v>
      </c>
      <c r="H26" s="168">
        <f t="shared" si="1"/>
        <v>164.64</v>
      </c>
    </row>
    <row r="27" spans="1:8" x14ac:dyDescent="0.25">
      <c r="A27" s="276">
        <v>25</v>
      </c>
      <c r="B27" s="650" t="s">
        <v>413</v>
      </c>
      <c r="C27" s="189">
        <v>446916</v>
      </c>
      <c r="D27" s="189" t="s">
        <v>410</v>
      </c>
      <c r="E27" s="189">
        <v>60</v>
      </c>
      <c r="F27" s="657">
        <v>7.83</v>
      </c>
      <c r="G27" s="651">
        <f t="shared" si="0"/>
        <v>469.8</v>
      </c>
      <c r="H27" s="168">
        <f t="shared" si="1"/>
        <v>469.8</v>
      </c>
    </row>
    <row r="28" spans="1:8" x14ac:dyDescent="0.25">
      <c r="A28" s="276">
        <v>26</v>
      </c>
      <c r="B28" s="650" t="s">
        <v>523</v>
      </c>
      <c r="C28" s="189">
        <v>349549</v>
      </c>
      <c r="D28" s="654" t="s">
        <v>410</v>
      </c>
      <c r="E28" s="189">
        <v>120</v>
      </c>
      <c r="F28" s="657">
        <v>15.38</v>
      </c>
      <c r="G28" s="651">
        <f t="shared" si="0"/>
        <v>1845.6</v>
      </c>
      <c r="H28" s="168">
        <f t="shared" si="1"/>
        <v>1845.6</v>
      </c>
    </row>
    <row r="29" spans="1:8" x14ac:dyDescent="0.25">
      <c r="A29" s="276">
        <v>27</v>
      </c>
      <c r="B29" s="650" t="s">
        <v>414</v>
      </c>
      <c r="C29" s="189">
        <v>127655</v>
      </c>
      <c r="D29" s="654" t="s">
        <v>524</v>
      </c>
      <c r="E29" s="189">
        <v>4</v>
      </c>
      <c r="F29" s="657">
        <v>40.200000000000003</v>
      </c>
      <c r="G29" s="651">
        <f t="shared" si="0"/>
        <v>160.80000000000001</v>
      </c>
      <c r="H29" s="168">
        <f t="shared" si="1"/>
        <v>160.80000000000001</v>
      </c>
    </row>
    <row r="30" spans="1:8" x14ac:dyDescent="0.25">
      <c r="A30" s="276">
        <v>28</v>
      </c>
      <c r="B30" s="650" t="s">
        <v>415</v>
      </c>
      <c r="C30" s="189">
        <v>404467</v>
      </c>
      <c r="D30" s="189" t="s">
        <v>416</v>
      </c>
      <c r="E30" s="189">
        <v>4</v>
      </c>
      <c r="F30" s="657">
        <v>14.22</v>
      </c>
      <c r="G30" s="651">
        <f t="shared" si="0"/>
        <v>56.88</v>
      </c>
      <c r="H30" s="168">
        <f t="shared" si="1"/>
        <v>56.88</v>
      </c>
    </row>
    <row r="31" spans="1:8" x14ac:dyDescent="0.25">
      <c r="A31" s="276">
        <v>29</v>
      </c>
      <c r="B31" s="652" t="s">
        <v>417</v>
      </c>
      <c r="C31" s="186">
        <v>231506</v>
      </c>
      <c r="D31" s="203" t="s">
        <v>261</v>
      </c>
      <c r="E31" s="186">
        <v>24</v>
      </c>
      <c r="F31" s="657">
        <v>3.48</v>
      </c>
      <c r="G31" s="651">
        <f t="shared" si="0"/>
        <v>83.52</v>
      </c>
      <c r="H31" s="168">
        <f t="shared" si="1"/>
        <v>83.52</v>
      </c>
    </row>
    <row r="32" spans="1:8" x14ac:dyDescent="0.25">
      <c r="A32" s="276">
        <v>30</v>
      </c>
      <c r="B32" s="652" t="s">
        <v>418</v>
      </c>
      <c r="C32" s="186">
        <v>407791</v>
      </c>
      <c r="D32" s="203" t="s">
        <v>261</v>
      </c>
      <c r="E32" s="186">
        <v>24</v>
      </c>
      <c r="F32" s="657">
        <v>2.92</v>
      </c>
      <c r="G32" s="651">
        <f t="shared" si="0"/>
        <v>70.08</v>
      </c>
      <c r="H32" s="168">
        <f t="shared" si="1"/>
        <v>70.08</v>
      </c>
    </row>
    <row r="33" spans="1:8" x14ac:dyDescent="0.25">
      <c r="A33" s="276">
        <v>31</v>
      </c>
      <c r="B33" s="652" t="s">
        <v>419</v>
      </c>
      <c r="C33" s="186">
        <v>407788</v>
      </c>
      <c r="D33" s="203" t="s">
        <v>261</v>
      </c>
      <c r="E33" s="186">
        <v>24</v>
      </c>
      <c r="F33" s="657">
        <v>3.6</v>
      </c>
      <c r="G33" s="651">
        <f t="shared" si="0"/>
        <v>86.4</v>
      </c>
      <c r="H33" s="168">
        <f t="shared" si="1"/>
        <v>86.4</v>
      </c>
    </row>
    <row r="34" spans="1:8" x14ac:dyDescent="0.25">
      <c r="A34" s="276">
        <v>32</v>
      </c>
      <c r="B34" s="652" t="s">
        <v>420</v>
      </c>
      <c r="C34" s="186">
        <v>440399</v>
      </c>
      <c r="D34" s="203" t="s">
        <v>261</v>
      </c>
      <c r="E34" s="186">
        <v>24</v>
      </c>
      <c r="F34" s="657">
        <v>3.1</v>
      </c>
      <c r="G34" s="651">
        <f t="shared" si="0"/>
        <v>74.400000000000006</v>
      </c>
      <c r="H34" s="168">
        <f t="shared" si="1"/>
        <v>74.400000000000006</v>
      </c>
    </row>
    <row r="35" spans="1:8" x14ac:dyDescent="0.25">
      <c r="A35" s="276">
        <v>33</v>
      </c>
      <c r="B35" s="652" t="s">
        <v>421</v>
      </c>
      <c r="C35" s="186">
        <v>441274</v>
      </c>
      <c r="D35" s="203" t="s">
        <v>261</v>
      </c>
      <c r="E35" s="186">
        <v>24</v>
      </c>
      <c r="F35" s="657">
        <v>1.49</v>
      </c>
      <c r="G35" s="651">
        <f t="shared" si="0"/>
        <v>35.76</v>
      </c>
      <c r="H35" s="168">
        <f t="shared" si="1"/>
        <v>35.76</v>
      </c>
    </row>
    <row r="36" spans="1:8" x14ac:dyDescent="0.25">
      <c r="A36" s="276">
        <v>34</v>
      </c>
      <c r="B36" s="652" t="s">
        <v>422</v>
      </c>
      <c r="C36" s="186">
        <v>289806</v>
      </c>
      <c r="D36" s="203" t="s">
        <v>261</v>
      </c>
      <c r="E36" s="186">
        <v>24</v>
      </c>
      <c r="F36" s="657">
        <v>1.78</v>
      </c>
      <c r="G36" s="651">
        <f t="shared" si="0"/>
        <v>42.72</v>
      </c>
      <c r="H36" s="168">
        <f t="shared" si="1"/>
        <v>42.72</v>
      </c>
    </row>
    <row r="37" spans="1:8" x14ac:dyDescent="0.25">
      <c r="A37" s="276">
        <v>35</v>
      </c>
      <c r="B37" s="650" t="s">
        <v>518</v>
      </c>
      <c r="C37" s="189">
        <v>235936</v>
      </c>
      <c r="D37" s="654" t="s">
        <v>517</v>
      </c>
      <c r="E37" s="189">
        <v>12</v>
      </c>
      <c r="F37" s="657">
        <v>8.0500000000000007</v>
      </c>
      <c r="G37" s="651">
        <f t="shared" si="0"/>
        <v>96.6</v>
      </c>
      <c r="H37" s="168">
        <f t="shared" si="1"/>
        <v>96.6</v>
      </c>
    </row>
    <row r="38" spans="1:8" x14ac:dyDescent="0.25">
      <c r="A38" s="276">
        <v>36</v>
      </c>
      <c r="B38" s="652" t="s">
        <v>520</v>
      </c>
      <c r="C38" s="186">
        <v>231785</v>
      </c>
      <c r="D38" s="186" t="s">
        <v>519</v>
      </c>
      <c r="E38" s="186">
        <v>120</v>
      </c>
      <c r="F38" s="657">
        <v>22.42</v>
      </c>
      <c r="G38" s="651">
        <f t="shared" si="0"/>
        <v>2690.4</v>
      </c>
      <c r="H38" s="168">
        <f t="shared" si="1"/>
        <v>2690.4</v>
      </c>
    </row>
    <row r="39" spans="1:8" x14ac:dyDescent="0.25">
      <c r="A39" s="276">
        <v>37</v>
      </c>
      <c r="B39" s="655" t="s">
        <v>423</v>
      </c>
      <c r="C39" s="189">
        <v>413363</v>
      </c>
      <c r="D39" s="654" t="s">
        <v>261</v>
      </c>
      <c r="E39" s="189">
        <v>120</v>
      </c>
      <c r="F39" s="657">
        <v>2.17</v>
      </c>
      <c r="G39" s="651">
        <f t="shared" si="0"/>
        <v>260.39999999999998</v>
      </c>
      <c r="H39" s="168">
        <f t="shared" si="1"/>
        <v>260.39999999999998</v>
      </c>
    </row>
    <row r="40" spans="1:8" x14ac:dyDescent="0.25">
      <c r="A40" s="276">
        <v>38</v>
      </c>
      <c r="B40" s="650" t="s">
        <v>525</v>
      </c>
      <c r="C40" s="189">
        <v>446592</v>
      </c>
      <c r="D40" s="189" t="s">
        <v>393</v>
      </c>
      <c r="E40" s="189">
        <v>1</v>
      </c>
      <c r="F40" s="657">
        <v>229.43</v>
      </c>
      <c r="G40" s="651">
        <f t="shared" si="0"/>
        <v>229.43</v>
      </c>
      <c r="H40" s="168">
        <f t="shared" si="1"/>
        <v>229.43</v>
      </c>
    </row>
    <row r="41" spans="1:8" x14ac:dyDescent="0.25">
      <c r="A41" s="276">
        <v>39</v>
      </c>
      <c r="B41" s="650" t="s">
        <v>424</v>
      </c>
      <c r="C41" s="189">
        <v>263106</v>
      </c>
      <c r="D41" s="189" t="s">
        <v>261</v>
      </c>
      <c r="E41" s="189">
        <v>200</v>
      </c>
      <c r="F41" s="657">
        <v>0.41</v>
      </c>
      <c r="G41" s="651">
        <f t="shared" si="0"/>
        <v>82</v>
      </c>
      <c r="H41" s="168">
        <f t="shared" si="1"/>
        <v>82</v>
      </c>
    </row>
    <row r="42" spans="1:8" x14ac:dyDescent="0.25">
      <c r="A42" s="276">
        <v>40</v>
      </c>
      <c r="B42" s="650" t="s">
        <v>526</v>
      </c>
      <c r="C42" s="189">
        <v>429627</v>
      </c>
      <c r="D42" s="189" t="s">
        <v>261</v>
      </c>
      <c r="E42" s="189">
        <v>4</v>
      </c>
      <c r="F42" s="658">
        <v>15.65</v>
      </c>
      <c r="G42" s="651">
        <f t="shared" si="0"/>
        <v>62.6</v>
      </c>
      <c r="H42" s="169">
        <f t="shared" si="1"/>
        <v>62.6</v>
      </c>
    </row>
    <row r="43" spans="1:8" x14ac:dyDescent="0.25">
      <c r="A43" s="276">
        <v>41</v>
      </c>
      <c r="B43" s="656" t="s">
        <v>425</v>
      </c>
      <c r="C43" s="186">
        <v>387604</v>
      </c>
      <c r="D43" s="189" t="s">
        <v>426</v>
      </c>
      <c r="E43" s="186">
        <v>30</v>
      </c>
      <c r="F43" s="657">
        <v>4.04</v>
      </c>
      <c r="G43" s="651">
        <f t="shared" si="0"/>
        <v>121.2</v>
      </c>
      <c r="H43" s="168">
        <f t="shared" si="1"/>
        <v>121.2</v>
      </c>
    </row>
    <row r="44" spans="1:8" x14ac:dyDescent="0.25">
      <c r="A44" s="276">
        <v>42</v>
      </c>
      <c r="B44" s="656" t="s">
        <v>427</v>
      </c>
      <c r="C44" s="186">
        <v>388660</v>
      </c>
      <c r="D44" s="189" t="s">
        <v>426</v>
      </c>
      <c r="E44" s="186">
        <v>30</v>
      </c>
      <c r="F44" s="657">
        <v>3.03</v>
      </c>
      <c r="G44" s="651">
        <f t="shared" si="0"/>
        <v>90.9</v>
      </c>
      <c r="H44" s="168">
        <f t="shared" si="1"/>
        <v>90.9</v>
      </c>
    </row>
    <row r="45" spans="1:8" x14ac:dyDescent="0.25">
      <c r="A45" s="276">
        <v>43</v>
      </c>
      <c r="B45" s="656" t="s">
        <v>428</v>
      </c>
      <c r="C45" s="186">
        <v>387605</v>
      </c>
      <c r="D45" s="189" t="s">
        <v>426</v>
      </c>
      <c r="E45" s="186">
        <v>30</v>
      </c>
      <c r="F45" s="657">
        <v>3.67</v>
      </c>
      <c r="G45" s="651">
        <f t="shared" si="0"/>
        <v>110.1</v>
      </c>
      <c r="H45" s="168">
        <f t="shared" si="1"/>
        <v>110.1</v>
      </c>
    </row>
    <row r="46" spans="1:8" x14ac:dyDescent="0.25">
      <c r="A46" s="276">
        <v>44</v>
      </c>
      <c r="B46" s="656" t="s">
        <v>429</v>
      </c>
      <c r="C46" s="186">
        <v>461000</v>
      </c>
      <c r="D46" s="189" t="s">
        <v>426</v>
      </c>
      <c r="E46" s="186">
        <v>30</v>
      </c>
      <c r="F46" s="657">
        <v>3.73</v>
      </c>
      <c r="G46" s="651">
        <f t="shared" si="0"/>
        <v>111.9</v>
      </c>
      <c r="H46" s="168">
        <f t="shared" si="1"/>
        <v>111.9</v>
      </c>
    </row>
    <row r="47" spans="1:8" x14ac:dyDescent="0.25">
      <c r="A47" s="276">
        <v>45</v>
      </c>
      <c r="B47" s="656" t="s">
        <v>430</v>
      </c>
      <c r="C47" s="186">
        <v>345000</v>
      </c>
      <c r="D47" s="189" t="s">
        <v>426</v>
      </c>
      <c r="E47" s="186">
        <v>30</v>
      </c>
      <c r="F47" s="657">
        <v>4.2</v>
      </c>
      <c r="G47" s="651">
        <f t="shared" si="0"/>
        <v>126</v>
      </c>
      <c r="H47" s="168">
        <f t="shared" si="1"/>
        <v>126</v>
      </c>
    </row>
    <row r="48" spans="1:8" x14ac:dyDescent="0.25">
      <c r="A48" s="276">
        <v>46</v>
      </c>
      <c r="B48" s="650" t="s">
        <v>527</v>
      </c>
      <c r="C48" s="189">
        <v>465553</v>
      </c>
      <c r="D48" s="654" t="s">
        <v>410</v>
      </c>
      <c r="E48" s="189">
        <v>2</v>
      </c>
      <c r="F48" s="657">
        <v>3.03</v>
      </c>
      <c r="G48" s="651">
        <f t="shared" si="0"/>
        <v>6.06</v>
      </c>
      <c r="H48" s="168">
        <f t="shared" si="1"/>
        <v>6.06</v>
      </c>
    </row>
    <row r="49" spans="1:8" x14ac:dyDescent="0.25">
      <c r="A49" s="587" t="s">
        <v>504</v>
      </c>
      <c r="B49" s="587"/>
      <c r="C49" s="587"/>
      <c r="D49" s="587"/>
      <c r="E49" s="587"/>
      <c r="F49" s="587"/>
      <c r="G49" s="176">
        <f>SUM(G3:G48)</f>
        <v>22449.990000000009</v>
      </c>
      <c r="H49" s="171">
        <f>SUM(H3:H48)</f>
        <v>22449.990000000009</v>
      </c>
    </row>
    <row r="50" spans="1:8" x14ac:dyDescent="0.25">
      <c r="A50" s="588" t="s">
        <v>505</v>
      </c>
      <c r="B50" s="588"/>
      <c r="C50" s="588"/>
      <c r="D50" s="588"/>
      <c r="E50" s="588"/>
      <c r="F50" s="588"/>
      <c r="G50" s="177" t="e">
        <f>G49/#REF!</f>
        <v>#REF!</v>
      </c>
      <c r="H50" s="171">
        <f>H49/12</f>
        <v>1870.8325000000007</v>
      </c>
    </row>
    <row r="51" spans="1:8" x14ac:dyDescent="0.25">
      <c r="A51" s="588" t="s">
        <v>291</v>
      </c>
      <c r="B51" s="588"/>
      <c r="C51" s="588"/>
      <c r="D51" s="588"/>
      <c r="E51" s="588"/>
      <c r="F51" s="588"/>
      <c r="G51" s="178">
        <v>1</v>
      </c>
      <c r="H51" s="172">
        <v>1</v>
      </c>
    </row>
    <row r="52" spans="1:8" x14ac:dyDescent="0.25">
      <c r="A52" s="569" t="s">
        <v>506</v>
      </c>
      <c r="B52" s="569"/>
      <c r="C52" s="569"/>
      <c r="D52" s="569"/>
      <c r="E52" s="569"/>
      <c r="F52" s="569"/>
      <c r="G52" s="159" t="e">
        <f>G50/G51</f>
        <v>#REF!</v>
      </c>
      <c r="H52" s="173">
        <f>H50/H51</f>
        <v>1870.8325000000007</v>
      </c>
    </row>
    <row r="53" spans="1:8" x14ac:dyDescent="0.25">
      <c r="A53" s="179"/>
      <c r="B53" s="179"/>
      <c r="C53" s="179"/>
      <c r="D53" s="179"/>
      <c r="E53" s="179"/>
      <c r="F53" s="179"/>
      <c r="G53" s="180"/>
    </row>
    <row r="54" spans="1:8" x14ac:dyDescent="0.25">
      <c r="A54" s="179"/>
      <c r="B54" s="179"/>
      <c r="C54" s="179"/>
      <c r="D54" s="179"/>
      <c r="E54" s="179"/>
      <c r="F54" s="179"/>
      <c r="G54" s="180"/>
    </row>
    <row r="55" spans="1:8" x14ac:dyDescent="0.25">
      <c r="A55" s="179"/>
      <c r="B55" s="179"/>
      <c r="C55" s="179"/>
      <c r="D55" s="179"/>
      <c r="E55" s="179"/>
      <c r="F55" s="179"/>
      <c r="G55" s="180"/>
    </row>
    <row r="56" spans="1:8" x14ac:dyDescent="0.25">
      <c r="A56" s="586" t="s">
        <v>295</v>
      </c>
      <c r="B56" s="586"/>
      <c r="C56" s="586"/>
      <c r="D56" s="586"/>
      <c r="E56" s="586"/>
      <c r="F56" s="586"/>
      <c r="G56" s="586"/>
      <c r="H56" s="586"/>
    </row>
    <row r="57" spans="1:8" x14ac:dyDescent="0.25">
      <c r="A57" s="174"/>
      <c r="B57" s="174"/>
      <c r="C57" s="174"/>
      <c r="D57" s="174"/>
      <c r="E57" s="174"/>
      <c r="F57" s="174"/>
      <c r="G57" s="175"/>
    </row>
  </sheetData>
  <sheetProtection algorithmName="SHA-512" hashValue="8hh9AErJ8YrcmRuYFzCKiDBl4AjiJ1QKUOTL4RDqfpyw9WQcxBlreNtV+BwST46kKZc9Xf/IBsQYT94/xaWQSA==" saltValue="IDmreyMb5WcEFMRPQhrfdQ==" spinCount="100000" sheet="1" selectLockedCells="1"/>
  <mergeCells count="6">
    <mergeCell ref="A1:H1"/>
    <mergeCell ref="A56:H56"/>
    <mergeCell ref="A52:F52"/>
    <mergeCell ref="A49:F49"/>
    <mergeCell ref="A50:F50"/>
    <mergeCell ref="A51:F51"/>
  </mergeCells>
  <pageMargins left="0.51181102362204722" right="0.51181102362204722" top="0.78740157480314965" bottom="0.78740157480314965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9"/>
  <sheetViews>
    <sheetView showGridLines="0" view="pageBreakPreview" zoomScaleNormal="100" zoomScaleSheetLayoutView="100" workbookViewId="0">
      <selection activeCell="F18" sqref="F18"/>
    </sheetView>
  </sheetViews>
  <sheetFormatPr defaultColWidth="8.7109375" defaultRowHeight="15" x14ac:dyDescent="0.25"/>
  <cols>
    <col min="1" max="1" width="8.7109375" style="110"/>
    <col min="2" max="2" width="67.5703125" style="110" customWidth="1"/>
    <col min="3" max="3" width="8.7109375" style="110"/>
    <col min="4" max="4" width="9.85546875" style="110" customWidth="1"/>
    <col min="5" max="5" width="14" style="110" customWidth="1"/>
    <col min="6" max="6" width="14" style="162" customWidth="1"/>
    <col min="7" max="7" width="16.140625" style="199" customWidth="1"/>
    <col min="8" max="8" width="11.85546875" style="110" customWidth="1"/>
    <col min="9" max="16384" width="8.7109375" style="110"/>
  </cols>
  <sheetData>
    <row r="1" spans="1:7" x14ac:dyDescent="0.25">
      <c r="A1" s="589" t="s">
        <v>285</v>
      </c>
      <c r="B1" s="589"/>
      <c r="C1" s="589"/>
      <c r="D1" s="589"/>
      <c r="E1" s="589"/>
      <c r="F1" s="589"/>
      <c r="G1" s="589"/>
    </row>
    <row r="2" spans="1:7" ht="45" x14ac:dyDescent="0.25">
      <c r="A2" s="182" t="s">
        <v>262</v>
      </c>
      <c r="B2" s="182" t="s">
        <v>379</v>
      </c>
      <c r="C2" s="182" t="s">
        <v>261</v>
      </c>
      <c r="D2" s="183" t="s">
        <v>266</v>
      </c>
      <c r="E2" s="184" t="s">
        <v>567</v>
      </c>
      <c r="F2" s="275" t="s">
        <v>281</v>
      </c>
      <c r="G2" s="185" t="s">
        <v>543</v>
      </c>
    </row>
    <row r="3" spans="1:7" x14ac:dyDescent="0.25">
      <c r="A3" s="186">
        <v>1</v>
      </c>
      <c r="B3" s="659" t="s">
        <v>539</v>
      </c>
      <c r="C3" s="172" t="s">
        <v>470</v>
      </c>
      <c r="D3" s="654">
        <v>305635</v>
      </c>
      <c r="E3" s="187">
        <v>1</v>
      </c>
      <c r="F3" s="663">
        <v>76.34</v>
      </c>
      <c r="G3" s="188">
        <f>ROUND(E3*F3,2)</f>
        <v>76.34</v>
      </c>
    </row>
    <row r="4" spans="1:7" x14ac:dyDescent="0.25">
      <c r="A4" s="186">
        <v>2</v>
      </c>
      <c r="B4" s="659" t="s">
        <v>540</v>
      </c>
      <c r="C4" s="172" t="s">
        <v>470</v>
      </c>
      <c r="D4" s="654">
        <v>310378</v>
      </c>
      <c r="E4" s="187">
        <v>1</v>
      </c>
      <c r="F4" s="663">
        <v>37.19</v>
      </c>
      <c r="G4" s="188">
        <f t="shared" ref="G4:G31" si="0">ROUND(E4*F4,2)</f>
        <v>37.19</v>
      </c>
    </row>
    <row r="5" spans="1:7" x14ac:dyDescent="0.25">
      <c r="A5" s="186">
        <v>3</v>
      </c>
      <c r="B5" s="659" t="s">
        <v>386</v>
      </c>
      <c r="C5" s="172" t="s">
        <v>470</v>
      </c>
      <c r="D5" s="654">
        <v>445372</v>
      </c>
      <c r="E5" s="187">
        <v>1</v>
      </c>
      <c r="F5" s="663">
        <v>35.18</v>
      </c>
      <c r="G5" s="188">
        <f t="shared" si="0"/>
        <v>35.18</v>
      </c>
    </row>
    <row r="6" spans="1:7" x14ac:dyDescent="0.25">
      <c r="A6" s="186">
        <v>4</v>
      </c>
      <c r="B6" s="660" t="s">
        <v>387</v>
      </c>
      <c r="C6" s="172" t="s">
        <v>470</v>
      </c>
      <c r="D6" s="654">
        <v>72494</v>
      </c>
      <c r="E6" s="187">
        <v>1</v>
      </c>
      <c r="F6" s="663">
        <v>39.39</v>
      </c>
      <c r="G6" s="188">
        <f t="shared" si="0"/>
        <v>39.39</v>
      </c>
    </row>
    <row r="7" spans="1:7" x14ac:dyDescent="0.25">
      <c r="A7" s="186">
        <v>5</v>
      </c>
      <c r="B7" s="660" t="s">
        <v>541</v>
      </c>
      <c r="C7" s="172" t="s">
        <v>470</v>
      </c>
      <c r="D7" s="654">
        <v>68934</v>
      </c>
      <c r="E7" s="187">
        <v>1</v>
      </c>
      <c r="F7" s="663">
        <v>185.87</v>
      </c>
      <c r="G7" s="188">
        <f t="shared" si="0"/>
        <v>185.87</v>
      </c>
    </row>
    <row r="8" spans="1:7" x14ac:dyDescent="0.25">
      <c r="A8" s="186">
        <v>6</v>
      </c>
      <c r="B8" s="660" t="s">
        <v>388</v>
      </c>
      <c r="C8" s="172" t="s">
        <v>470</v>
      </c>
      <c r="D8" s="654">
        <v>245570</v>
      </c>
      <c r="E8" s="187">
        <v>1</v>
      </c>
      <c r="F8" s="663">
        <v>39.5</v>
      </c>
      <c r="G8" s="188">
        <f t="shared" si="0"/>
        <v>39.5</v>
      </c>
    </row>
    <row r="9" spans="1:7" x14ac:dyDescent="0.25">
      <c r="A9" s="186">
        <v>7</v>
      </c>
      <c r="B9" s="660" t="s">
        <v>389</v>
      </c>
      <c r="C9" s="172" t="s">
        <v>470</v>
      </c>
      <c r="D9" s="654">
        <v>136760</v>
      </c>
      <c r="E9" s="187">
        <v>1</v>
      </c>
      <c r="F9" s="663">
        <v>119.33</v>
      </c>
      <c r="G9" s="188">
        <f t="shared" si="0"/>
        <v>119.33</v>
      </c>
    </row>
    <row r="10" spans="1:7" x14ac:dyDescent="0.25">
      <c r="A10" s="186">
        <v>8</v>
      </c>
      <c r="B10" s="661" t="s">
        <v>555</v>
      </c>
      <c r="C10" s="172" t="s">
        <v>470</v>
      </c>
      <c r="D10" s="654">
        <v>244982</v>
      </c>
      <c r="E10" s="187">
        <v>1</v>
      </c>
      <c r="F10" s="663">
        <v>32.119999999999997</v>
      </c>
      <c r="G10" s="188">
        <f t="shared" si="0"/>
        <v>32.119999999999997</v>
      </c>
    </row>
    <row r="11" spans="1:7" x14ac:dyDescent="0.25">
      <c r="A11" s="186">
        <v>9</v>
      </c>
      <c r="B11" s="661" t="s">
        <v>554</v>
      </c>
      <c r="C11" s="172" t="s">
        <v>470</v>
      </c>
      <c r="D11" s="654">
        <v>213920</v>
      </c>
      <c r="E11" s="187">
        <v>1</v>
      </c>
      <c r="F11" s="663">
        <v>54.19</v>
      </c>
      <c r="G11" s="188">
        <f t="shared" si="0"/>
        <v>54.19</v>
      </c>
    </row>
    <row r="12" spans="1:7" x14ac:dyDescent="0.25">
      <c r="A12" s="186">
        <v>10</v>
      </c>
      <c r="B12" s="661" t="s">
        <v>553</v>
      </c>
      <c r="C12" s="172" t="s">
        <v>470</v>
      </c>
      <c r="D12" s="654">
        <v>441770</v>
      </c>
      <c r="E12" s="187">
        <v>1</v>
      </c>
      <c r="F12" s="663">
        <v>119.47</v>
      </c>
      <c r="G12" s="188">
        <f t="shared" si="0"/>
        <v>119.47</v>
      </c>
    </row>
    <row r="13" spans="1:7" x14ac:dyDescent="0.25">
      <c r="A13" s="186">
        <v>11</v>
      </c>
      <c r="B13" s="661" t="s">
        <v>552</v>
      </c>
      <c r="C13" s="172" t="s">
        <v>470</v>
      </c>
      <c r="D13" s="654">
        <v>461975</v>
      </c>
      <c r="E13" s="187">
        <v>1</v>
      </c>
      <c r="F13" s="663">
        <v>274.95</v>
      </c>
      <c r="G13" s="188">
        <f t="shared" si="0"/>
        <v>274.95</v>
      </c>
    </row>
    <row r="14" spans="1:7" x14ac:dyDescent="0.25">
      <c r="A14" s="186">
        <v>12</v>
      </c>
      <c r="B14" s="661" t="s">
        <v>550</v>
      </c>
      <c r="C14" s="172" t="s">
        <v>470</v>
      </c>
      <c r="D14" s="654">
        <v>32638</v>
      </c>
      <c r="E14" s="187">
        <v>1</v>
      </c>
      <c r="F14" s="663">
        <v>102.83</v>
      </c>
      <c r="G14" s="188">
        <f t="shared" si="0"/>
        <v>102.83</v>
      </c>
    </row>
    <row r="15" spans="1:7" x14ac:dyDescent="0.25">
      <c r="A15" s="186">
        <v>13</v>
      </c>
      <c r="B15" s="660" t="s">
        <v>615</v>
      </c>
      <c r="C15" s="172" t="s">
        <v>470</v>
      </c>
      <c r="D15" s="654">
        <v>386811</v>
      </c>
      <c r="E15" s="187">
        <v>1</v>
      </c>
      <c r="F15" s="663">
        <v>75.36</v>
      </c>
      <c r="G15" s="188">
        <f t="shared" si="0"/>
        <v>75.36</v>
      </c>
    </row>
    <row r="16" spans="1:7" x14ac:dyDescent="0.25">
      <c r="A16" s="186">
        <v>14</v>
      </c>
      <c r="B16" s="660" t="s">
        <v>546</v>
      </c>
      <c r="C16" s="172" t="s">
        <v>470</v>
      </c>
      <c r="D16" s="654">
        <v>386810</v>
      </c>
      <c r="E16" s="187">
        <v>1</v>
      </c>
      <c r="F16" s="663">
        <v>91.59</v>
      </c>
      <c r="G16" s="188">
        <f t="shared" si="0"/>
        <v>91.59</v>
      </c>
    </row>
    <row r="17" spans="1:7" x14ac:dyDescent="0.25">
      <c r="A17" s="189">
        <v>15</v>
      </c>
      <c r="B17" s="660" t="s">
        <v>547</v>
      </c>
      <c r="C17" s="172" t="s">
        <v>470</v>
      </c>
      <c r="D17" s="654">
        <v>386812</v>
      </c>
      <c r="E17" s="187">
        <v>1</v>
      </c>
      <c r="F17" s="663">
        <v>124.6</v>
      </c>
      <c r="G17" s="188">
        <f t="shared" si="0"/>
        <v>124.6</v>
      </c>
    </row>
    <row r="18" spans="1:7" x14ac:dyDescent="0.25">
      <c r="A18" s="186">
        <v>16</v>
      </c>
      <c r="B18" s="660" t="s">
        <v>548</v>
      </c>
      <c r="C18" s="172" t="s">
        <v>470</v>
      </c>
      <c r="D18" s="654">
        <v>424025</v>
      </c>
      <c r="E18" s="187">
        <v>1</v>
      </c>
      <c r="F18" s="663">
        <v>162.07</v>
      </c>
      <c r="G18" s="188">
        <f t="shared" si="0"/>
        <v>162.07</v>
      </c>
    </row>
    <row r="19" spans="1:7" x14ac:dyDescent="0.25">
      <c r="A19" s="186">
        <v>17</v>
      </c>
      <c r="B19" s="660" t="s">
        <v>549</v>
      </c>
      <c r="C19" s="172" t="s">
        <v>470</v>
      </c>
      <c r="D19" s="654">
        <v>429890</v>
      </c>
      <c r="E19" s="187">
        <v>1</v>
      </c>
      <c r="F19" s="663">
        <v>451.36</v>
      </c>
      <c r="G19" s="188">
        <f t="shared" si="0"/>
        <v>451.36</v>
      </c>
    </row>
    <row r="20" spans="1:7" x14ac:dyDescent="0.25">
      <c r="A20" s="186">
        <v>18</v>
      </c>
      <c r="B20" s="661" t="s">
        <v>556</v>
      </c>
      <c r="C20" s="172" t="s">
        <v>470</v>
      </c>
      <c r="D20" s="654">
        <v>139386</v>
      </c>
      <c r="E20" s="187">
        <v>1</v>
      </c>
      <c r="F20" s="663">
        <v>259.54000000000002</v>
      </c>
      <c r="G20" s="188">
        <f t="shared" si="0"/>
        <v>259.54000000000002</v>
      </c>
    </row>
    <row r="21" spans="1:7" x14ac:dyDescent="0.25">
      <c r="A21" s="186">
        <v>19</v>
      </c>
      <c r="B21" s="661" t="s">
        <v>557</v>
      </c>
      <c r="C21" s="172" t="s">
        <v>470</v>
      </c>
      <c r="D21" s="654">
        <v>376787</v>
      </c>
      <c r="E21" s="187">
        <v>1</v>
      </c>
      <c r="F21" s="663">
        <v>47.21</v>
      </c>
      <c r="G21" s="188">
        <f t="shared" si="0"/>
        <v>47.21</v>
      </c>
    </row>
    <row r="22" spans="1:7" x14ac:dyDescent="0.25">
      <c r="A22" s="186">
        <v>20</v>
      </c>
      <c r="B22" s="661" t="s">
        <v>558</v>
      </c>
      <c r="C22" s="172" t="s">
        <v>470</v>
      </c>
      <c r="D22" s="654">
        <v>298261</v>
      </c>
      <c r="E22" s="187">
        <v>1</v>
      </c>
      <c r="F22" s="663">
        <v>46.57</v>
      </c>
      <c r="G22" s="188">
        <f t="shared" si="0"/>
        <v>46.57</v>
      </c>
    </row>
    <row r="23" spans="1:7" x14ac:dyDescent="0.25">
      <c r="A23" s="186">
        <v>21</v>
      </c>
      <c r="B23" s="661" t="s">
        <v>390</v>
      </c>
      <c r="C23" s="172" t="s">
        <v>470</v>
      </c>
      <c r="D23" s="654">
        <v>477539</v>
      </c>
      <c r="E23" s="187">
        <v>1</v>
      </c>
      <c r="F23" s="663">
        <v>39.369999999999997</v>
      </c>
      <c r="G23" s="188">
        <f t="shared" si="0"/>
        <v>39.369999999999997</v>
      </c>
    </row>
    <row r="24" spans="1:7" ht="30" x14ac:dyDescent="0.25">
      <c r="A24" s="186">
        <v>22</v>
      </c>
      <c r="B24" s="662" t="s">
        <v>559</v>
      </c>
      <c r="C24" s="190" t="s">
        <v>470</v>
      </c>
      <c r="D24" s="203">
        <v>450450</v>
      </c>
      <c r="E24" s="191">
        <v>1</v>
      </c>
      <c r="F24" s="663">
        <v>257</v>
      </c>
      <c r="G24" s="192">
        <f t="shared" si="0"/>
        <v>257</v>
      </c>
    </row>
    <row r="25" spans="1:7" x14ac:dyDescent="0.25">
      <c r="A25" s="186">
        <v>23</v>
      </c>
      <c r="B25" s="661" t="s">
        <v>560</v>
      </c>
      <c r="C25" s="172" t="s">
        <v>470</v>
      </c>
      <c r="D25" s="654">
        <v>343779</v>
      </c>
      <c r="E25" s="187">
        <v>1</v>
      </c>
      <c r="F25" s="663">
        <v>151.94999999999999</v>
      </c>
      <c r="G25" s="188">
        <f t="shared" si="0"/>
        <v>151.94999999999999</v>
      </c>
    </row>
    <row r="26" spans="1:7" x14ac:dyDescent="0.25">
      <c r="A26" s="186">
        <v>24</v>
      </c>
      <c r="B26" s="661" t="s">
        <v>561</v>
      </c>
      <c r="C26" s="172" t="s">
        <v>470</v>
      </c>
      <c r="D26" s="654">
        <v>22292</v>
      </c>
      <c r="E26" s="187">
        <v>1</v>
      </c>
      <c r="F26" s="663">
        <v>30.54</v>
      </c>
      <c r="G26" s="188">
        <f t="shared" si="0"/>
        <v>30.54</v>
      </c>
    </row>
    <row r="27" spans="1:7" x14ac:dyDescent="0.25">
      <c r="A27" s="186">
        <v>25</v>
      </c>
      <c r="B27" s="661" t="s">
        <v>391</v>
      </c>
      <c r="C27" s="172" t="s">
        <v>470</v>
      </c>
      <c r="D27" s="654">
        <v>392670</v>
      </c>
      <c r="E27" s="187">
        <v>1</v>
      </c>
      <c r="F27" s="663">
        <v>16.62</v>
      </c>
      <c r="G27" s="188">
        <f t="shared" si="0"/>
        <v>16.62</v>
      </c>
    </row>
    <row r="28" spans="1:7" x14ac:dyDescent="0.25">
      <c r="A28" s="186">
        <v>26</v>
      </c>
      <c r="B28" s="661" t="s">
        <v>563</v>
      </c>
      <c r="C28" s="172" t="s">
        <v>470</v>
      </c>
      <c r="D28" s="654">
        <v>378357</v>
      </c>
      <c r="E28" s="187">
        <v>1</v>
      </c>
      <c r="F28" s="663">
        <v>46.36</v>
      </c>
      <c r="G28" s="188">
        <f t="shared" si="0"/>
        <v>46.36</v>
      </c>
    </row>
    <row r="29" spans="1:7" x14ac:dyDescent="0.25">
      <c r="A29" s="186">
        <v>27</v>
      </c>
      <c r="B29" s="661" t="s">
        <v>564</v>
      </c>
      <c r="C29" s="172" t="s">
        <v>470</v>
      </c>
      <c r="D29" s="654">
        <v>279310</v>
      </c>
      <c r="E29" s="187">
        <v>1</v>
      </c>
      <c r="F29" s="663">
        <v>58.71</v>
      </c>
      <c r="G29" s="188">
        <f t="shared" si="0"/>
        <v>58.71</v>
      </c>
    </row>
    <row r="30" spans="1:7" x14ac:dyDescent="0.25">
      <c r="A30" s="186">
        <v>28</v>
      </c>
      <c r="B30" s="662" t="s">
        <v>392</v>
      </c>
      <c r="C30" s="172" t="s">
        <v>470</v>
      </c>
      <c r="D30" s="654">
        <v>440028</v>
      </c>
      <c r="E30" s="187">
        <v>1</v>
      </c>
      <c r="F30" s="663">
        <v>350.19</v>
      </c>
      <c r="G30" s="188">
        <f t="shared" si="0"/>
        <v>350.19</v>
      </c>
    </row>
    <row r="31" spans="1:7" x14ac:dyDescent="0.25">
      <c r="A31" s="186">
        <v>29</v>
      </c>
      <c r="B31" s="662" t="s">
        <v>565</v>
      </c>
      <c r="C31" s="172" t="s">
        <v>470</v>
      </c>
      <c r="D31" s="654">
        <v>440035</v>
      </c>
      <c r="E31" s="187">
        <v>1</v>
      </c>
      <c r="F31" s="663">
        <v>415.59</v>
      </c>
      <c r="G31" s="188">
        <f t="shared" si="0"/>
        <v>415.59</v>
      </c>
    </row>
    <row r="32" spans="1:7" x14ac:dyDescent="0.25">
      <c r="A32" s="587" t="s">
        <v>545</v>
      </c>
      <c r="B32" s="587"/>
      <c r="C32" s="587"/>
      <c r="D32" s="587"/>
      <c r="E32" s="587"/>
      <c r="F32" s="587"/>
      <c r="G32" s="193">
        <f>SUM(G3:G31)</f>
        <v>3740.99</v>
      </c>
    </row>
    <row r="33" spans="1:7" x14ac:dyDescent="0.25">
      <c r="A33" s="588" t="s">
        <v>597</v>
      </c>
      <c r="B33" s="588"/>
      <c r="C33" s="588"/>
      <c r="D33" s="588"/>
      <c r="E33" s="588"/>
      <c r="F33" s="588"/>
      <c r="G33" s="194">
        <f>G32/30</f>
        <v>124.69966666666666</v>
      </c>
    </row>
    <row r="34" spans="1:7" x14ac:dyDescent="0.25">
      <c r="A34" s="588" t="s">
        <v>291</v>
      </c>
      <c r="B34" s="588"/>
      <c r="C34" s="588"/>
      <c r="D34" s="588"/>
      <c r="E34" s="588"/>
      <c r="F34" s="588"/>
      <c r="G34" s="195">
        <v>1</v>
      </c>
    </row>
    <row r="35" spans="1:7" x14ac:dyDescent="0.25">
      <c r="A35" s="569" t="s">
        <v>566</v>
      </c>
      <c r="B35" s="569"/>
      <c r="C35" s="569"/>
      <c r="D35" s="569"/>
      <c r="E35" s="569"/>
      <c r="F35" s="569"/>
      <c r="G35" s="196">
        <f>G33/G34</f>
        <v>124.69966666666666</v>
      </c>
    </row>
    <row r="36" spans="1:7" x14ac:dyDescent="0.25">
      <c r="A36" s="197"/>
      <c r="B36" s="197"/>
      <c r="C36" s="197"/>
      <c r="D36" s="197"/>
      <c r="E36" s="197"/>
      <c r="F36" s="197"/>
      <c r="G36" s="198"/>
    </row>
    <row r="37" spans="1:7" x14ac:dyDescent="0.25">
      <c r="A37" s="197"/>
      <c r="B37" s="197"/>
      <c r="C37" s="197"/>
      <c r="D37" s="197"/>
      <c r="E37" s="197"/>
      <c r="F37" s="197"/>
      <c r="G37" s="198"/>
    </row>
    <row r="39" spans="1:7" x14ac:dyDescent="0.25">
      <c r="A39" s="364" t="s">
        <v>295</v>
      </c>
      <c r="B39" s="364"/>
      <c r="C39" s="364"/>
      <c r="D39" s="364"/>
      <c r="E39" s="364"/>
      <c r="F39" s="364"/>
      <c r="G39" s="364"/>
    </row>
  </sheetData>
  <sheetProtection algorithmName="SHA-512" hashValue="SFKq2KhZMdHo4Avden6nKMpL+Zdq+ngv1PTznVAkTVl0KxCyGEJtOTrFXzAXnXv4R77ZDdC3h9+qrL/vmNGThg==" saltValue="vNpTwglrA+W+IqcrKwnGhg==" spinCount="100000" sheet="1" selectLockedCells="1"/>
  <mergeCells count="6">
    <mergeCell ref="A39:G39"/>
    <mergeCell ref="A1:G1"/>
    <mergeCell ref="A32:F32"/>
    <mergeCell ref="A33:F33"/>
    <mergeCell ref="A34:F34"/>
    <mergeCell ref="A35:F3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33"/>
  <sheetViews>
    <sheetView showGridLines="0" view="pageBreakPreview" zoomScaleNormal="100" zoomScaleSheetLayoutView="100" workbookViewId="0">
      <selection activeCell="G10" sqref="G10"/>
    </sheetView>
  </sheetViews>
  <sheetFormatPr defaultColWidth="13.140625" defaultRowHeight="15" x14ac:dyDescent="0.25"/>
  <cols>
    <col min="1" max="1" width="7.28515625" style="110" customWidth="1"/>
    <col min="2" max="2" width="70.140625" style="110" customWidth="1"/>
    <col min="3" max="3" width="13.140625" style="110"/>
    <col min="4" max="6" width="13.28515625" style="110" bestFit="1" customWidth="1"/>
    <col min="7" max="8" width="14.7109375" style="110" bestFit="1" customWidth="1"/>
    <col min="9" max="9" width="15.5703125" style="110" bestFit="1" customWidth="1"/>
    <col min="10" max="16384" width="13.140625" style="110"/>
  </cols>
  <sheetData>
    <row r="1" spans="1:12" x14ac:dyDescent="0.25">
      <c r="A1" s="592" t="s">
        <v>264</v>
      </c>
      <c r="B1" s="592"/>
      <c r="C1" s="592"/>
      <c r="D1" s="592"/>
      <c r="E1" s="592"/>
      <c r="F1" s="592"/>
      <c r="G1" s="592"/>
      <c r="H1" s="592"/>
      <c r="I1" s="592"/>
    </row>
    <row r="2" spans="1:12" ht="45" x14ac:dyDescent="0.25">
      <c r="A2" s="182" t="s">
        <v>262</v>
      </c>
      <c r="B2" s="182" t="s">
        <v>286</v>
      </c>
      <c r="C2" s="182" t="s">
        <v>261</v>
      </c>
      <c r="D2" s="183" t="s">
        <v>266</v>
      </c>
      <c r="E2" s="184" t="s">
        <v>282</v>
      </c>
      <c r="F2" s="184" t="s">
        <v>568</v>
      </c>
      <c r="G2" s="183" t="s">
        <v>281</v>
      </c>
      <c r="H2" s="184" t="s">
        <v>296</v>
      </c>
      <c r="I2" s="183" t="s">
        <v>299</v>
      </c>
    </row>
    <row r="3" spans="1:12" x14ac:dyDescent="0.25">
      <c r="A3" s="203">
        <v>1</v>
      </c>
      <c r="B3" s="664" t="s">
        <v>380</v>
      </c>
      <c r="C3" s="654" t="s">
        <v>470</v>
      </c>
      <c r="D3" s="654">
        <v>60461</v>
      </c>
      <c r="E3" s="654">
        <v>120</v>
      </c>
      <c r="F3" s="665">
        <v>1</v>
      </c>
      <c r="G3" s="205">
        <v>945.19</v>
      </c>
      <c r="H3" s="201">
        <f t="shared" ref="H3:H26" si="0">ROUND(G3*F3,2)</f>
        <v>945.19</v>
      </c>
      <c r="I3" s="202">
        <f t="shared" ref="I3:I25" si="1">ROUND((H3*F3)/E3,2)</f>
        <v>7.88</v>
      </c>
    </row>
    <row r="4" spans="1:12" ht="60" x14ac:dyDescent="0.25">
      <c r="A4" s="200">
        <v>2</v>
      </c>
      <c r="B4" s="664" t="s">
        <v>551</v>
      </c>
      <c r="C4" s="654" t="s">
        <v>470</v>
      </c>
      <c r="D4" s="654">
        <v>456436</v>
      </c>
      <c r="E4" s="654">
        <v>120</v>
      </c>
      <c r="F4" s="665">
        <v>1</v>
      </c>
      <c r="G4" s="205">
        <v>2195</v>
      </c>
      <c r="H4" s="201">
        <f>ROUND(G4*F4,2)</f>
        <v>2195</v>
      </c>
      <c r="I4" s="202">
        <f>ROUND((H4*F4)/E4,2)</f>
        <v>18.29</v>
      </c>
    </row>
    <row r="5" spans="1:12" x14ac:dyDescent="0.25">
      <c r="A5" s="203">
        <v>3</v>
      </c>
      <c r="B5" s="664" t="s">
        <v>570</v>
      </c>
      <c r="C5" s="654" t="s">
        <v>470</v>
      </c>
      <c r="D5" s="654">
        <v>126764</v>
      </c>
      <c r="E5" s="654">
        <v>60</v>
      </c>
      <c r="F5" s="665">
        <v>1</v>
      </c>
      <c r="G5" s="205">
        <v>125.29</v>
      </c>
      <c r="H5" s="201">
        <f t="shared" si="0"/>
        <v>125.29</v>
      </c>
      <c r="I5" s="202">
        <f t="shared" si="1"/>
        <v>2.09</v>
      </c>
    </row>
    <row r="6" spans="1:12" x14ac:dyDescent="0.25">
      <c r="A6" s="200">
        <v>4</v>
      </c>
      <c r="B6" s="661" t="s">
        <v>381</v>
      </c>
      <c r="C6" s="654" t="s">
        <v>470</v>
      </c>
      <c r="D6" s="654">
        <v>88978</v>
      </c>
      <c r="E6" s="654">
        <v>60</v>
      </c>
      <c r="F6" s="665">
        <v>1</v>
      </c>
      <c r="G6" s="205">
        <v>445.81</v>
      </c>
      <c r="H6" s="201">
        <f t="shared" si="0"/>
        <v>445.81</v>
      </c>
      <c r="I6" s="202">
        <f t="shared" si="1"/>
        <v>7.43</v>
      </c>
    </row>
    <row r="7" spans="1:12" x14ac:dyDescent="0.25">
      <c r="A7" s="203">
        <v>5</v>
      </c>
      <c r="B7" s="664" t="s">
        <v>571</v>
      </c>
      <c r="C7" s="654" t="s">
        <v>470</v>
      </c>
      <c r="D7" s="654">
        <v>17108</v>
      </c>
      <c r="E7" s="654">
        <v>120</v>
      </c>
      <c r="F7" s="665">
        <v>1</v>
      </c>
      <c r="G7" s="205">
        <v>528.33000000000004</v>
      </c>
      <c r="H7" s="201">
        <f t="shared" si="0"/>
        <v>528.33000000000004</v>
      </c>
      <c r="I7" s="202">
        <f t="shared" si="1"/>
        <v>4.4000000000000004</v>
      </c>
    </row>
    <row r="8" spans="1:12" x14ac:dyDescent="0.25">
      <c r="A8" s="200">
        <v>6</v>
      </c>
      <c r="B8" s="664" t="s">
        <v>572</v>
      </c>
      <c r="C8" s="654" t="s">
        <v>470</v>
      </c>
      <c r="D8" s="654">
        <v>444250</v>
      </c>
      <c r="E8" s="654">
        <v>120</v>
      </c>
      <c r="F8" s="665">
        <v>1</v>
      </c>
      <c r="G8" s="205">
        <v>387.02</v>
      </c>
      <c r="H8" s="201">
        <f t="shared" si="0"/>
        <v>387.02</v>
      </c>
      <c r="I8" s="202">
        <f t="shared" si="1"/>
        <v>3.23</v>
      </c>
    </row>
    <row r="9" spans="1:12" x14ac:dyDescent="0.25">
      <c r="A9" s="203">
        <v>7</v>
      </c>
      <c r="B9" s="664" t="s">
        <v>382</v>
      </c>
      <c r="C9" s="654" t="s">
        <v>470</v>
      </c>
      <c r="D9" s="654">
        <v>150245</v>
      </c>
      <c r="E9" s="654">
        <v>120</v>
      </c>
      <c r="F9" s="665">
        <v>1</v>
      </c>
      <c r="G9" s="205">
        <v>1642.9</v>
      </c>
      <c r="H9" s="201">
        <f t="shared" si="0"/>
        <v>1642.9</v>
      </c>
      <c r="I9" s="202">
        <f t="shared" si="1"/>
        <v>13.69</v>
      </c>
    </row>
    <row r="10" spans="1:12" x14ac:dyDescent="0.25">
      <c r="A10" s="203">
        <v>8</v>
      </c>
      <c r="B10" s="650" t="s">
        <v>384</v>
      </c>
      <c r="C10" s="654" t="s">
        <v>470</v>
      </c>
      <c r="D10" s="654">
        <v>88781</v>
      </c>
      <c r="E10" s="654">
        <v>120</v>
      </c>
      <c r="F10" s="665">
        <v>1</v>
      </c>
      <c r="G10" s="205">
        <v>148.91999999999999</v>
      </c>
      <c r="H10" s="201">
        <f>ROUND(G10*F10,2)</f>
        <v>148.91999999999999</v>
      </c>
      <c r="I10" s="202">
        <f>ROUND((H10*F10)/E10,2)</f>
        <v>1.24</v>
      </c>
      <c r="K10" s="110" t="s">
        <v>463</v>
      </c>
      <c r="L10" s="110" t="s">
        <v>463</v>
      </c>
    </row>
    <row r="11" spans="1:12" x14ac:dyDescent="0.25">
      <c r="A11" s="200">
        <v>9</v>
      </c>
      <c r="B11" s="650" t="s">
        <v>383</v>
      </c>
      <c r="C11" s="654" t="s">
        <v>470</v>
      </c>
      <c r="D11" s="654">
        <v>88790</v>
      </c>
      <c r="E11" s="654">
        <v>120</v>
      </c>
      <c r="F11" s="665">
        <v>1</v>
      </c>
      <c r="G11" s="205">
        <v>2605.8200000000002</v>
      </c>
      <c r="H11" s="201">
        <f t="shared" si="0"/>
        <v>2605.8200000000002</v>
      </c>
      <c r="I11" s="202">
        <f t="shared" si="1"/>
        <v>21.72</v>
      </c>
    </row>
    <row r="12" spans="1:12" ht="45" x14ac:dyDescent="0.25">
      <c r="A12" s="200">
        <v>10</v>
      </c>
      <c r="B12" s="664" t="s">
        <v>569</v>
      </c>
      <c r="C12" s="654" t="s">
        <v>470</v>
      </c>
      <c r="D12" s="654">
        <v>300682</v>
      </c>
      <c r="E12" s="654">
        <v>120</v>
      </c>
      <c r="F12" s="665">
        <v>1</v>
      </c>
      <c r="G12" s="205">
        <v>290.70999999999998</v>
      </c>
      <c r="H12" s="201">
        <f>ROUND(G12*F12,2)</f>
        <v>290.70999999999998</v>
      </c>
      <c r="I12" s="202">
        <f>ROUND((H12*F12)/E12,2)</f>
        <v>2.42</v>
      </c>
      <c r="K12" s="164"/>
    </row>
    <row r="13" spans="1:12" x14ac:dyDescent="0.25">
      <c r="A13" s="203">
        <v>11</v>
      </c>
      <c r="B13" s="661" t="s">
        <v>573</v>
      </c>
      <c r="C13" s="654" t="s">
        <v>470</v>
      </c>
      <c r="D13" s="654">
        <v>150135</v>
      </c>
      <c r="E13" s="654">
        <v>120</v>
      </c>
      <c r="F13" s="665">
        <v>1</v>
      </c>
      <c r="G13" s="205">
        <v>102.29</v>
      </c>
      <c r="H13" s="201">
        <f t="shared" si="0"/>
        <v>102.29</v>
      </c>
      <c r="I13" s="202">
        <f t="shared" si="1"/>
        <v>0.85</v>
      </c>
    </row>
    <row r="14" spans="1:12" x14ac:dyDescent="0.25">
      <c r="A14" s="200">
        <v>12</v>
      </c>
      <c r="B14" s="661" t="s">
        <v>574</v>
      </c>
      <c r="C14" s="654" t="s">
        <v>470</v>
      </c>
      <c r="D14" s="654">
        <v>91057</v>
      </c>
      <c r="E14" s="654">
        <v>120</v>
      </c>
      <c r="F14" s="665">
        <v>1</v>
      </c>
      <c r="G14" s="205">
        <v>153.66</v>
      </c>
      <c r="H14" s="201">
        <f t="shared" si="0"/>
        <v>153.66</v>
      </c>
      <c r="I14" s="202">
        <f t="shared" si="1"/>
        <v>1.28</v>
      </c>
    </row>
    <row r="15" spans="1:12" x14ac:dyDescent="0.25">
      <c r="A15" s="203">
        <v>13</v>
      </c>
      <c r="B15" s="661" t="s">
        <v>575</v>
      </c>
      <c r="C15" s="654" t="s">
        <v>470</v>
      </c>
      <c r="D15" s="654">
        <v>409623</v>
      </c>
      <c r="E15" s="654">
        <v>60</v>
      </c>
      <c r="F15" s="665">
        <v>1</v>
      </c>
      <c r="G15" s="205">
        <v>16</v>
      </c>
      <c r="H15" s="201">
        <f t="shared" si="0"/>
        <v>16</v>
      </c>
      <c r="I15" s="202">
        <f t="shared" si="1"/>
        <v>0.27</v>
      </c>
    </row>
    <row r="16" spans="1:12" x14ac:dyDescent="0.25">
      <c r="A16" s="200">
        <v>14</v>
      </c>
      <c r="B16" s="664" t="s">
        <v>576</v>
      </c>
      <c r="C16" s="654" t="s">
        <v>470</v>
      </c>
      <c r="D16" s="654">
        <v>39837</v>
      </c>
      <c r="E16" s="654">
        <v>120</v>
      </c>
      <c r="F16" s="665">
        <v>1</v>
      </c>
      <c r="G16" s="205">
        <v>118.96</v>
      </c>
      <c r="H16" s="201">
        <f t="shared" si="0"/>
        <v>118.96</v>
      </c>
      <c r="I16" s="202">
        <f t="shared" si="1"/>
        <v>0.99</v>
      </c>
    </row>
    <row r="17" spans="1:9" x14ac:dyDescent="0.25">
      <c r="A17" s="203">
        <v>15</v>
      </c>
      <c r="B17" s="664" t="s">
        <v>562</v>
      </c>
      <c r="C17" s="654" t="s">
        <v>470</v>
      </c>
      <c r="D17" s="654">
        <v>16292</v>
      </c>
      <c r="E17" s="654">
        <v>120</v>
      </c>
      <c r="F17" s="665">
        <v>1</v>
      </c>
      <c r="G17" s="205">
        <v>377.66</v>
      </c>
      <c r="H17" s="201">
        <f t="shared" si="0"/>
        <v>377.66</v>
      </c>
      <c r="I17" s="202">
        <f t="shared" si="1"/>
        <v>3.15</v>
      </c>
    </row>
    <row r="18" spans="1:9" x14ac:dyDescent="0.25">
      <c r="A18" s="200">
        <v>16</v>
      </c>
      <c r="B18" s="664" t="s">
        <v>385</v>
      </c>
      <c r="C18" s="654" t="s">
        <v>470</v>
      </c>
      <c r="D18" s="654">
        <v>472000</v>
      </c>
      <c r="E18" s="654">
        <v>120</v>
      </c>
      <c r="F18" s="665">
        <v>1</v>
      </c>
      <c r="G18" s="205">
        <v>138.13</v>
      </c>
      <c r="H18" s="201">
        <f t="shared" si="0"/>
        <v>138.13</v>
      </c>
      <c r="I18" s="202">
        <f t="shared" si="1"/>
        <v>1.1499999999999999</v>
      </c>
    </row>
    <row r="19" spans="1:9" x14ac:dyDescent="0.25">
      <c r="A19" s="203">
        <v>17</v>
      </c>
      <c r="B19" s="664" t="s">
        <v>577</v>
      </c>
      <c r="C19" s="654" t="s">
        <v>470</v>
      </c>
      <c r="D19" s="654">
        <v>440493</v>
      </c>
      <c r="E19" s="654">
        <v>120</v>
      </c>
      <c r="F19" s="665">
        <v>1</v>
      </c>
      <c r="G19" s="205">
        <v>436.4</v>
      </c>
      <c r="H19" s="201">
        <f t="shared" si="0"/>
        <v>436.4</v>
      </c>
      <c r="I19" s="202">
        <f t="shared" si="1"/>
        <v>3.64</v>
      </c>
    </row>
    <row r="20" spans="1:9" ht="45" x14ac:dyDescent="0.25">
      <c r="A20" s="200">
        <v>18</v>
      </c>
      <c r="B20" s="664" t="s">
        <v>578</v>
      </c>
      <c r="C20" s="654" t="s">
        <v>470</v>
      </c>
      <c r="D20" s="654">
        <v>266309</v>
      </c>
      <c r="E20" s="654">
        <v>120</v>
      </c>
      <c r="F20" s="665">
        <v>1</v>
      </c>
      <c r="G20" s="205">
        <v>495.04</v>
      </c>
      <c r="H20" s="201">
        <f t="shared" si="0"/>
        <v>495.04</v>
      </c>
      <c r="I20" s="202">
        <f t="shared" si="1"/>
        <v>4.13</v>
      </c>
    </row>
    <row r="21" spans="1:9" ht="45" x14ac:dyDescent="0.25">
      <c r="A21" s="203">
        <v>19</v>
      </c>
      <c r="B21" s="664" t="s">
        <v>579</v>
      </c>
      <c r="C21" s="654" t="s">
        <v>470</v>
      </c>
      <c r="D21" s="654">
        <v>457575</v>
      </c>
      <c r="E21" s="654">
        <v>120</v>
      </c>
      <c r="F21" s="665">
        <v>1</v>
      </c>
      <c r="G21" s="205">
        <v>3565.51</v>
      </c>
      <c r="H21" s="201">
        <f t="shared" si="0"/>
        <v>3565.51</v>
      </c>
      <c r="I21" s="202">
        <f t="shared" si="1"/>
        <v>29.71</v>
      </c>
    </row>
    <row r="22" spans="1:9" x14ac:dyDescent="0.25">
      <c r="A22" s="200">
        <v>20</v>
      </c>
      <c r="B22" s="664" t="s">
        <v>618</v>
      </c>
      <c r="C22" s="654" t="s">
        <v>470</v>
      </c>
      <c r="D22" s="654">
        <v>17442</v>
      </c>
      <c r="E22" s="654">
        <v>60</v>
      </c>
      <c r="F22" s="665">
        <v>1</v>
      </c>
      <c r="G22" s="205">
        <v>90.43</v>
      </c>
      <c r="H22" s="201">
        <f t="shared" si="0"/>
        <v>90.43</v>
      </c>
      <c r="I22" s="202">
        <f t="shared" si="1"/>
        <v>1.51</v>
      </c>
    </row>
    <row r="23" spans="1:9" x14ac:dyDescent="0.25">
      <c r="A23" s="203">
        <v>21</v>
      </c>
      <c r="B23" s="664" t="s">
        <v>619</v>
      </c>
      <c r="C23" s="654" t="s">
        <v>470</v>
      </c>
      <c r="D23" s="654">
        <v>17442</v>
      </c>
      <c r="E23" s="654">
        <v>60</v>
      </c>
      <c r="F23" s="665">
        <v>1</v>
      </c>
      <c r="G23" s="205">
        <v>118.83</v>
      </c>
      <c r="H23" s="201">
        <f t="shared" si="0"/>
        <v>118.83</v>
      </c>
      <c r="I23" s="202">
        <f t="shared" si="1"/>
        <v>1.98</v>
      </c>
    </row>
    <row r="24" spans="1:9" x14ac:dyDescent="0.25">
      <c r="A24" s="200">
        <v>22</v>
      </c>
      <c r="B24" s="664" t="s">
        <v>620</v>
      </c>
      <c r="C24" s="654" t="s">
        <v>470</v>
      </c>
      <c r="D24" s="654">
        <v>17442</v>
      </c>
      <c r="E24" s="654">
        <v>60</v>
      </c>
      <c r="F24" s="665">
        <v>1</v>
      </c>
      <c r="G24" s="205">
        <v>229.68</v>
      </c>
      <c r="H24" s="201">
        <f t="shared" si="0"/>
        <v>229.68</v>
      </c>
      <c r="I24" s="202">
        <f t="shared" si="1"/>
        <v>3.83</v>
      </c>
    </row>
    <row r="25" spans="1:9" x14ac:dyDescent="0.25">
      <c r="A25" s="203">
        <v>23</v>
      </c>
      <c r="B25" s="664" t="s">
        <v>580</v>
      </c>
      <c r="C25" s="654" t="s">
        <v>470</v>
      </c>
      <c r="D25" s="654">
        <v>373718</v>
      </c>
      <c r="E25" s="654">
        <v>120</v>
      </c>
      <c r="F25" s="665">
        <v>1</v>
      </c>
      <c r="G25" s="205">
        <v>1144.17</v>
      </c>
      <c r="H25" s="201">
        <f t="shared" si="0"/>
        <v>1144.17</v>
      </c>
      <c r="I25" s="202">
        <f t="shared" si="1"/>
        <v>9.5299999999999994</v>
      </c>
    </row>
    <row r="26" spans="1:9" x14ac:dyDescent="0.25">
      <c r="A26" s="200">
        <v>24</v>
      </c>
      <c r="B26" s="662" t="s">
        <v>582</v>
      </c>
      <c r="C26" s="654" t="s">
        <v>581</v>
      </c>
      <c r="D26" s="189">
        <v>150531</v>
      </c>
      <c r="E26" s="654">
        <v>60</v>
      </c>
      <c r="F26" s="665">
        <v>1</v>
      </c>
      <c r="G26" s="205">
        <v>299.33999999999997</v>
      </c>
      <c r="H26" s="201">
        <f t="shared" si="0"/>
        <v>299.33999999999997</v>
      </c>
      <c r="I26" s="202">
        <f>ROUND((H26*F26)/E26,2)</f>
        <v>4.99</v>
      </c>
    </row>
    <row r="27" spans="1:9" x14ac:dyDescent="0.25">
      <c r="A27" s="587" t="s">
        <v>300</v>
      </c>
      <c r="B27" s="587"/>
      <c r="C27" s="587"/>
      <c r="D27" s="587"/>
      <c r="E27" s="587"/>
      <c r="F27" s="587"/>
      <c r="G27" s="587"/>
      <c r="H27" s="587"/>
      <c r="I27" s="204">
        <f>SUM(I3:I26)</f>
        <v>149.4</v>
      </c>
    </row>
    <row r="28" spans="1:9" x14ac:dyDescent="0.25">
      <c r="A28" s="593" t="s">
        <v>291</v>
      </c>
      <c r="B28" s="593"/>
      <c r="C28" s="593"/>
      <c r="D28" s="593"/>
      <c r="E28" s="593"/>
      <c r="F28" s="593"/>
      <c r="G28" s="593"/>
      <c r="H28" s="593"/>
      <c r="I28" s="178">
        <v>1</v>
      </c>
    </row>
    <row r="29" spans="1:9" x14ac:dyDescent="0.25">
      <c r="A29" s="590" t="s">
        <v>475</v>
      </c>
      <c r="B29" s="591"/>
      <c r="C29" s="591"/>
      <c r="D29" s="591"/>
      <c r="E29" s="591"/>
      <c r="F29" s="591"/>
      <c r="G29" s="591"/>
      <c r="H29" s="591"/>
      <c r="I29" s="159">
        <f>ROUND(I27/I28,2)</f>
        <v>149.4</v>
      </c>
    </row>
    <row r="30" spans="1:9" x14ac:dyDescent="0.25">
      <c r="A30" s="174"/>
      <c r="B30" s="174"/>
      <c r="C30" s="174"/>
      <c r="D30" s="174"/>
      <c r="E30" s="174"/>
      <c r="F30" s="174"/>
      <c r="G30" s="175"/>
      <c r="H30" s="175"/>
    </row>
    <row r="31" spans="1:9" x14ac:dyDescent="0.25">
      <c r="A31" s="174"/>
      <c r="B31" s="174"/>
      <c r="C31" s="174"/>
      <c r="D31" s="174"/>
      <c r="E31" s="174"/>
      <c r="F31" s="174"/>
      <c r="G31" s="175"/>
      <c r="H31" s="175"/>
    </row>
    <row r="32" spans="1:9" x14ac:dyDescent="0.25">
      <c r="A32" s="174"/>
      <c r="B32" s="174"/>
      <c r="C32" s="174"/>
      <c r="D32" s="174"/>
      <c r="E32" s="174"/>
      <c r="F32" s="174"/>
      <c r="G32" s="175"/>
      <c r="H32" s="175"/>
    </row>
    <row r="33" spans="1:9" x14ac:dyDescent="0.25">
      <c r="A33" s="364" t="s">
        <v>295</v>
      </c>
      <c r="B33" s="364"/>
      <c r="C33" s="364"/>
      <c r="D33" s="364"/>
      <c r="E33" s="364"/>
      <c r="F33" s="364"/>
      <c r="G33" s="364"/>
      <c r="H33" s="364"/>
      <c r="I33" s="364"/>
    </row>
  </sheetData>
  <sheetProtection algorithmName="SHA-512" hashValue="2U3Ez4WgZT3rNwgEVcmEUd2SuJULLghtLdKMewO5fNsQrc8equCdGGxMuRtEo4zZ7MVTKEg+JVwpHYCCvHdZcg==" saltValue="tcMpaDVXHaNPjHQBX10pqg==" spinCount="100000" sheet="1" selectLockedCells="1"/>
  <mergeCells count="5">
    <mergeCell ref="A29:H29"/>
    <mergeCell ref="A33:I33"/>
    <mergeCell ref="A1:I1"/>
    <mergeCell ref="A27:H27"/>
    <mergeCell ref="A28:H2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5</vt:i4>
      </vt:variant>
    </vt:vector>
  </HeadingPairs>
  <TitlesOfParts>
    <vt:vector size="24" baseType="lpstr">
      <vt:lpstr>Geral</vt:lpstr>
      <vt:lpstr>Subitem 1.1</vt:lpstr>
      <vt:lpstr>Servente de Limpeza Líder</vt:lpstr>
      <vt:lpstr>Limpador de Vidros</vt:lpstr>
      <vt:lpstr>Uniformes</vt:lpstr>
      <vt:lpstr>EPI's</vt:lpstr>
      <vt:lpstr>Insumos</vt:lpstr>
      <vt:lpstr>Ferramentas</vt:lpstr>
      <vt:lpstr>Equipamentos</vt:lpstr>
      <vt:lpstr>Subitem 2.1</vt:lpstr>
      <vt:lpstr>Subitem 4.1</vt:lpstr>
      <vt:lpstr>Item 6</vt:lpstr>
      <vt:lpstr>Item 7</vt:lpstr>
      <vt:lpstr>BDI - Subitens Serviços</vt:lpstr>
      <vt:lpstr>BDI - Subitens Mat e Insumos</vt:lpstr>
      <vt:lpstr>Descontos 3.2 e 5.2</vt:lpstr>
      <vt:lpstr>Produtividade IN 05-2017</vt:lpstr>
      <vt:lpstr>Produtividade x M2</vt:lpstr>
      <vt:lpstr>Proposta Comercial</vt:lpstr>
      <vt:lpstr>Equipamentos!Area_de_impressao</vt:lpstr>
      <vt:lpstr>'Item 6'!Area_de_impressao</vt:lpstr>
      <vt:lpstr>'Item 7'!Area_de_impressao</vt:lpstr>
      <vt:lpstr>'Subitem 1.1'!Area_de_impressao</vt:lpstr>
      <vt:lpstr>'Subitem 4.1'!Titulos_de_impressao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SOARES PEREIRA</dc:creator>
  <cp:lastModifiedBy>Henrique Pereira Soares</cp:lastModifiedBy>
  <cp:revision>14</cp:revision>
  <cp:lastPrinted>2022-04-26T16:28:15Z</cp:lastPrinted>
  <dcterms:created xsi:type="dcterms:W3CDTF">2017-06-02T16:18:47Z</dcterms:created>
  <dcterms:modified xsi:type="dcterms:W3CDTF">2022-05-09T14:52:06Z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