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20" yWindow="-120" windowWidth="24240" windowHeight="13140" tabRatio="987" activeTab="14"/>
  </bookViews>
  <sheets>
    <sheet name="Quadro Resumo dos Serviços" sheetId="30" r:id="rId1"/>
    <sheet name="Quadro Resumo 1.1 e 1.2" sheetId="21" r:id="rId2"/>
    <sheet name="1.1" sheetId="3" r:id="rId3"/>
    <sheet name="Servente de Limpeza Líder" sheetId="13" state="hidden" r:id="rId4"/>
    <sheet name="Limpador de Vidros" sheetId="19" state="hidden" r:id="rId5"/>
    <sheet name="1.2" sheetId="29" r:id="rId6"/>
    <sheet name="Uniformes" sheetId="22" r:id="rId7"/>
    <sheet name="EPI's" sheetId="23" r:id="rId8"/>
    <sheet name="Insumos" sheetId="25" r:id="rId9"/>
    <sheet name="Ferramentas" sheetId="26" r:id="rId10"/>
    <sheet name="Equipamentos" sheetId="38" r:id="rId11"/>
    <sheet name="2.1" sheetId="31" r:id="rId12"/>
    <sheet name="2.2, 3.2 e 6.3" sheetId="34" r:id="rId13"/>
    <sheet name="4.1" sheetId="24" r:id="rId14"/>
    <sheet name="4.3 e 5.3" sheetId="35" r:id="rId15"/>
    <sheet name="6" sheetId="39" r:id="rId16"/>
    <sheet name="Descontos" sheetId="37" r:id="rId17"/>
    <sheet name="Produtividade IN 05-2017" sheetId="16" state="hidden" r:id="rId18"/>
    <sheet name="Produtividade x M2" sheetId="18" state="hidden" r:id="rId19"/>
    <sheet name="Proposta Comercial" sheetId="17" state="hidden" r:id="rId20"/>
  </sheets>
  <externalReferences>
    <externalReference r:id="rId21"/>
    <externalReference r:id="rId22"/>
    <externalReference r:id="rId23"/>
  </externalReferences>
  <definedNames>
    <definedName name="__shared_1_0_0">#N/A</definedName>
    <definedName name="__shared_1_0_1">#N/A</definedName>
    <definedName name="__shared_2_0_0">#N/A</definedName>
    <definedName name="__shared_2_0_1">#N/A</definedName>
    <definedName name="__shared_3_0_0">#N/A</definedName>
    <definedName name="__shared_3_0_1">#N/A</definedName>
    <definedName name="__shared_4_0_0">#N/A</definedName>
    <definedName name="__shared_4_0_1">#N/A</definedName>
    <definedName name="__shared_5_0_0">#N/A</definedName>
    <definedName name="__shared_5_0_1">#N/A</definedName>
    <definedName name="__shared_6_0_0">#N/A</definedName>
    <definedName name="__shared_6_0_1">#N/A</definedName>
    <definedName name="__shared_7_0_0">#N/A</definedName>
    <definedName name="__shared_7_0_1">#N/A</definedName>
    <definedName name="__shared_7_0_2">#N/A</definedName>
    <definedName name="__shared_7_0_3">#N/A</definedName>
    <definedName name="__shared_7_0_4">#N/A</definedName>
    <definedName name="__shared_7_0_5">#N/A</definedName>
    <definedName name="_xlnm.Print_Area" localSheetId="2">'1.1'!$A$1:$K$172</definedName>
    <definedName name="_xlnm.Print_Area" localSheetId="5">'1.2'!$A$1:$K$173</definedName>
    <definedName name="_xlnm.Print_Area" localSheetId="4">#N/A</definedName>
    <definedName name="_xlnm.Print_Area" localSheetId="3">#N/A</definedName>
    <definedName name="TabComposicao">[1]Composição!$A$2:$G$20</definedName>
    <definedName name="TabelaValores">'6'!$H$2:$J$8</definedName>
    <definedName name="TabRef">'[2]Tabela de Referencia'!$A$11:$AT$83</definedName>
  </definedNames>
  <calcPr calcId="125725"/>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7" i="31"/>
  <c r="G3"/>
  <c r="I3" s="1"/>
  <c r="G6"/>
  <c r="G5"/>
  <c r="G4"/>
  <c r="H20" i="25" l="1"/>
  <c r="H19"/>
  <c r="H179" i="24"/>
  <c r="H50" i="25"/>
  <c r="E44" i="39"/>
  <c r="E45"/>
  <c r="E43"/>
  <c r="E46" s="1"/>
  <c r="H48" i="25"/>
  <c r="H49"/>
  <c r="H46"/>
  <c r="H45"/>
  <c r="K118" i="29"/>
  <c r="H117"/>
  <c r="K117" s="1"/>
  <c r="H116"/>
  <c r="K116" s="1"/>
  <c r="K115"/>
  <c r="K114"/>
  <c r="K113"/>
  <c r="H112"/>
  <c r="K112" s="1"/>
  <c r="K111"/>
  <c r="K110"/>
  <c r="H110"/>
  <c r="H109"/>
  <c r="K109" s="1"/>
  <c r="K108"/>
  <c r="H107"/>
  <c r="K107" s="1"/>
  <c r="K118" i="3"/>
  <c r="H117"/>
  <c r="K117" s="1"/>
  <c r="H116"/>
  <c r="K116" s="1"/>
  <c r="K115"/>
  <c r="K114"/>
  <c r="K113"/>
  <c r="H112"/>
  <c r="K112" s="1"/>
  <c r="K111"/>
  <c r="H110"/>
  <c r="K110" s="1"/>
  <c r="H109"/>
  <c r="K109" s="1"/>
  <c r="K108"/>
  <c r="H107"/>
  <c r="K107" s="1"/>
  <c r="K119" l="1"/>
  <c r="K119" i="29"/>
  <c r="I4" i="38" l="1"/>
  <c r="H4" i="31" l="1"/>
  <c r="H5"/>
  <c r="H6"/>
  <c r="H7"/>
  <c r="H3"/>
  <c r="F4"/>
  <c r="F5"/>
  <c r="F6"/>
  <c r="F7"/>
  <c r="F3"/>
  <c r="G68" i="29" l="1"/>
  <c r="K27" i="3"/>
  <c r="G68"/>
  <c r="E38" i="39"/>
  <c r="D38"/>
  <c r="E37"/>
  <c r="D37"/>
  <c r="E36"/>
  <c r="D36"/>
  <c r="E35"/>
  <c r="D35"/>
  <c r="E34"/>
  <c r="D34"/>
  <c r="E33"/>
  <c r="D33"/>
  <c r="E32"/>
  <c r="D32"/>
  <c r="E31"/>
  <c r="D31"/>
  <c r="E30"/>
  <c r="D30"/>
  <c r="E29"/>
  <c r="D29"/>
  <c r="E28"/>
  <c r="D28"/>
  <c r="E27"/>
  <c r="D27"/>
  <c r="E26"/>
  <c r="D26"/>
  <c r="E25"/>
  <c r="D25"/>
  <c r="E24"/>
  <c r="D24"/>
  <c r="E23"/>
  <c r="D23"/>
  <c r="E22"/>
  <c r="D22"/>
  <c r="E21"/>
  <c r="D21"/>
  <c r="E20"/>
  <c r="D20"/>
  <c r="E19"/>
  <c r="D19"/>
  <c r="E18"/>
  <c r="D18"/>
  <c r="E17"/>
  <c r="D17"/>
  <c r="E16"/>
  <c r="D16"/>
  <c r="E15"/>
  <c r="D15"/>
  <c r="E14"/>
  <c r="D14"/>
  <c r="E13"/>
  <c r="D13"/>
  <c r="E12"/>
  <c r="D12"/>
  <c r="E11"/>
  <c r="D11"/>
  <c r="E10"/>
  <c r="D10"/>
  <c r="E9"/>
  <c r="D9"/>
  <c r="E8"/>
  <c r="D8"/>
  <c r="E7"/>
  <c r="D7"/>
  <c r="E6"/>
  <c r="D6"/>
  <c r="E5"/>
  <c r="D5"/>
  <c r="E4"/>
  <c r="D4"/>
  <c r="E3"/>
  <c r="D3"/>
  <c r="F21" l="1"/>
  <c r="F29"/>
  <c r="F6"/>
  <c r="F8"/>
  <c r="F10"/>
  <c r="F12"/>
  <c r="F14"/>
  <c r="F16"/>
  <c r="F18"/>
  <c r="F20"/>
  <c r="F9"/>
  <c r="F31"/>
  <c r="F33"/>
  <c r="F35"/>
  <c r="F3"/>
  <c r="F5"/>
  <c r="F13"/>
  <c r="F19"/>
  <c r="F34"/>
  <c r="F23"/>
  <c r="F27"/>
  <c r="F7"/>
  <c r="F11"/>
  <c r="F17"/>
  <c r="F22"/>
  <c r="F24"/>
  <c r="F26"/>
  <c r="F28"/>
  <c r="F32"/>
  <c r="F4"/>
  <c r="F15"/>
  <c r="F25"/>
  <c r="F30"/>
  <c r="F36"/>
  <c r="F37"/>
  <c r="F38"/>
  <c r="I4" i="31"/>
  <c r="I5"/>
  <c r="I6"/>
  <c r="I7"/>
  <c r="H30" i="30"/>
  <c r="G23"/>
  <c r="G15"/>
  <c r="J4" i="38"/>
  <c r="I5"/>
  <c r="J5" s="1"/>
  <c r="I6"/>
  <c r="J6" s="1"/>
  <c r="I7"/>
  <c r="J7" s="1"/>
  <c r="I8"/>
  <c r="J8" s="1"/>
  <c r="I9"/>
  <c r="J9" s="1"/>
  <c r="I10"/>
  <c r="J10" s="1"/>
  <c r="I11"/>
  <c r="J11" s="1"/>
  <c r="I12"/>
  <c r="J12" s="1"/>
  <c r="I13"/>
  <c r="J13" s="1"/>
  <c r="I14"/>
  <c r="J14" s="1"/>
  <c r="I15"/>
  <c r="J15" s="1"/>
  <c r="I16"/>
  <c r="J16" s="1"/>
  <c r="I3"/>
  <c r="J3" s="1"/>
  <c r="F39" i="39" l="1"/>
  <c r="E48" s="1"/>
  <c r="J17" i="38"/>
  <c r="J19" s="1"/>
  <c r="I8" i="31"/>
  <c r="H7" i="30" s="1"/>
  <c r="H27"/>
  <c r="K141" i="29" l="1"/>
  <c r="K141" i="3"/>
  <c r="C10" i="35"/>
  <c r="G20" i="30" l="1"/>
  <c r="G25"/>
  <c r="G181" i="24"/>
  <c r="C10" i="34"/>
  <c r="H177" i="24"/>
  <c r="H178"/>
  <c r="G9" i="31" l="1"/>
  <c r="I9" s="1"/>
  <c r="I10" s="1"/>
  <c r="G31" i="30"/>
  <c r="H31" s="1"/>
  <c r="H32" s="1"/>
  <c r="G28"/>
  <c r="H28" s="1"/>
  <c r="H29" s="1"/>
  <c r="G12"/>
  <c r="G17"/>
  <c r="H12" l="1"/>
  <c r="H13" s="1"/>
  <c r="H5" i="24" l="1"/>
  <c r="G159" i="29"/>
  <c r="I160" s="1"/>
  <c r="F156"/>
  <c r="K132"/>
  <c r="K70"/>
  <c r="F68"/>
  <c r="K66" s="1"/>
  <c r="I52"/>
  <c r="I59" s="1"/>
  <c r="I42"/>
  <c r="I41"/>
  <c r="I40"/>
  <c r="K28"/>
  <c r="K27"/>
  <c r="K26"/>
  <c r="K30" s="1"/>
  <c r="K29" l="1"/>
  <c r="G65"/>
  <c r="K63" s="1"/>
  <c r="K73" s="1"/>
  <c r="I33"/>
  <c r="K31" s="1"/>
  <c r="I43"/>
  <c r="K81" l="1"/>
  <c r="K35"/>
  <c r="K78" s="1"/>
  <c r="K41" l="1"/>
  <c r="K120"/>
  <c r="K46"/>
  <c r="K40"/>
  <c r="K42"/>
  <c r="K163"/>
  <c r="K43" l="1"/>
  <c r="K47" s="1"/>
  <c r="K48" s="1"/>
  <c r="K79" l="1"/>
  <c r="K55"/>
  <c r="K51"/>
  <c r="K58"/>
  <c r="K80" s="1"/>
  <c r="K54"/>
  <c r="K50"/>
  <c r="K57"/>
  <c r="K56"/>
  <c r="K52"/>
  <c r="K90" l="1"/>
  <c r="K91" s="1"/>
  <c r="K93" s="1"/>
  <c r="K94" s="1"/>
  <c r="K84"/>
  <c r="K82"/>
  <c r="K83" s="1"/>
  <c r="K59"/>
  <c r="K74" l="1"/>
  <c r="K121" s="1"/>
  <c r="K85"/>
  <c r="K87" s="1"/>
  <c r="K88" s="1"/>
  <c r="K164" l="1"/>
  <c r="K96"/>
  <c r="K97" s="1"/>
  <c r="K99" s="1"/>
  <c r="K100" s="1"/>
  <c r="K101" s="1"/>
  <c r="K165" l="1"/>
  <c r="K122"/>
  <c r="K123" s="1"/>
  <c r="K124" s="1"/>
  <c r="K125" s="1"/>
  <c r="K126" s="1"/>
  <c r="K127" s="1"/>
  <c r="K134" s="1"/>
  <c r="K166" s="1"/>
  <c r="H4" i="25"/>
  <c r="H5"/>
  <c r="H6"/>
  <c r="H7"/>
  <c r="H8"/>
  <c r="H9"/>
  <c r="H10"/>
  <c r="H11"/>
  <c r="H12"/>
  <c r="H13"/>
  <c r="H14"/>
  <c r="H15"/>
  <c r="H16"/>
  <c r="H17"/>
  <c r="H18"/>
  <c r="H21"/>
  <c r="H22"/>
  <c r="H23"/>
  <c r="H24"/>
  <c r="H25"/>
  <c r="H26"/>
  <c r="H27"/>
  <c r="H28"/>
  <c r="H29"/>
  <c r="H30"/>
  <c r="H31"/>
  <c r="H32"/>
  <c r="H33"/>
  <c r="H34"/>
  <c r="H35"/>
  <c r="H36"/>
  <c r="H37"/>
  <c r="H38"/>
  <c r="H39"/>
  <c r="H40"/>
  <c r="H41"/>
  <c r="H42"/>
  <c r="H43"/>
  <c r="H44"/>
  <c r="H47"/>
  <c r="H3"/>
  <c r="H6" i="24"/>
  <c r="H7"/>
  <c r="H8"/>
  <c r="H9"/>
  <c r="H10"/>
  <c r="H11"/>
  <c r="H12"/>
  <c r="H13"/>
  <c r="H14"/>
  <c r="H15"/>
  <c r="H16"/>
  <c r="H17"/>
  <c r="H18"/>
  <c r="H19"/>
  <c r="H20"/>
  <c r="H21"/>
  <c r="H22"/>
  <c r="H23"/>
  <c r="H24"/>
  <c r="H25"/>
  <c r="H26"/>
  <c r="H27"/>
  <c r="H28"/>
  <c r="H29"/>
  <c r="H30"/>
  <c r="H31"/>
  <c r="H32"/>
  <c r="H33"/>
  <c r="H34"/>
  <c r="H35"/>
  <c r="H36"/>
  <c r="H37"/>
  <c r="H38"/>
  <c r="H39"/>
  <c r="H40"/>
  <c r="H41"/>
  <c r="H42"/>
  <c r="H43"/>
  <c r="H44"/>
  <c r="H45"/>
  <c r="H46"/>
  <c r="H47"/>
  <c r="H48"/>
  <c r="H49"/>
  <c r="H50"/>
  <c r="H51"/>
  <c r="H52"/>
  <c r="H53"/>
  <c r="H54"/>
  <c r="H55"/>
  <c r="H56"/>
  <c r="H57"/>
  <c r="H58"/>
  <c r="H59"/>
  <c r="H60"/>
  <c r="H61"/>
  <c r="H62"/>
  <c r="H63"/>
  <c r="H64"/>
  <c r="H65"/>
  <c r="H66"/>
  <c r="H67"/>
  <c r="H68"/>
  <c r="H69"/>
  <c r="H70"/>
  <c r="H71"/>
  <c r="H72"/>
  <c r="H73"/>
  <c r="H74"/>
  <c r="H75"/>
  <c r="H76"/>
  <c r="H77"/>
  <c r="H78"/>
  <c r="H79"/>
  <c r="H80"/>
  <c r="H81"/>
  <c r="H82"/>
  <c r="H83"/>
  <c r="H84"/>
  <c r="H85"/>
  <c r="H86"/>
  <c r="H87"/>
  <c r="H88"/>
  <c r="H89"/>
  <c r="H90"/>
  <c r="H91"/>
  <c r="H92"/>
  <c r="H93"/>
  <c r="H94"/>
  <c r="H95"/>
  <c r="H96"/>
  <c r="H97"/>
  <c r="H98"/>
  <c r="H99"/>
  <c r="H100"/>
  <c r="H101"/>
  <c r="H102"/>
  <c r="H103"/>
  <c r="H104"/>
  <c r="H105"/>
  <c r="H106"/>
  <c r="H107"/>
  <c r="H108"/>
  <c r="H109"/>
  <c r="H110"/>
  <c r="H111"/>
  <c r="H112"/>
  <c r="H113"/>
  <c r="H114"/>
  <c r="H115"/>
  <c r="H116"/>
  <c r="H117"/>
  <c r="H118"/>
  <c r="H119"/>
  <c r="H120"/>
  <c r="H121"/>
  <c r="H122"/>
  <c r="H123"/>
  <c r="H124"/>
  <c r="H125"/>
  <c r="H126"/>
  <c r="H127"/>
  <c r="H128"/>
  <c r="H129"/>
  <c r="H130"/>
  <c r="H131"/>
  <c r="H132"/>
  <c r="H133"/>
  <c r="H134"/>
  <c r="H135"/>
  <c r="H136"/>
  <c r="H137"/>
  <c r="H138"/>
  <c r="H139"/>
  <c r="H140"/>
  <c r="H141"/>
  <c r="H142"/>
  <c r="H143"/>
  <c r="H144"/>
  <c r="H145"/>
  <c r="H146"/>
  <c r="H147"/>
  <c r="H148"/>
  <c r="H149"/>
  <c r="H150"/>
  <c r="H151"/>
  <c r="H152"/>
  <c r="H153"/>
  <c r="H154"/>
  <c r="H155"/>
  <c r="H156"/>
  <c r="H157"/>
  <c r="H158"/>
  <c r="H159"/>
  <c r="H160"/>
  <c r="H161"/>
  <c r="H162"/>
  <c r="H163"/>
  <c r="H164"/>
  <c r="H165"/>
  <c r="H166"/>
  <c r="H167"/>
  <c r="H168"/>
  <c r="H169"/>
  <c r="H170"/>
  <c r="H171"/>
  <c r="H172"/>
  <c r="H173"/>
  <c r="H174"/>
  <c r="H175"/>
  <c r="H176"/>
  <c r="H4" i="26"/>
  <c r="H5"/>
  <c r="H6"/>
  <c r="H7"/>
  <c r="H8"/>
  <c r="H9"/>
  <c r="H10"/>
  <c r="H11"/>
  <c r="H12"/>
  <c r="H13"/>
  <c r="H14"/>
  <c r="H15"/>
  <c r="H16"/>
  <c r="H17"/>
  <c r="H18"/>
  <c r="H19"/>
  <c r="H20"/>
  <c r="H21"/>
  <c r="H22"/>
  <c r="H23"/>
  <c r="H24"/>
  <c r="H25"/>
  <c r="H26"/>
  <c r="H27"/>
  <c r="H28"/>
  <c r="H29"/>
  <c r="H30"/>
  <c r="H31"/>
  <c r="H32"/>
  <c r="H33"/>
  <c r="H34"/>
  <c r="H35"/>
  <c r="H36"/>
  <c r="H37"/>
  <c r="H38"/>
  <c r="H39"/>
  <c r="H40"/>
  <c r="H41"/>
  <c r="H42"/>
  <c r="H43"/>
  <c r="H44"/>
  <c r="H45"/>
  <c r="H46"/>
  <c r="H47"/>
  <c r="H48"/>
  <c r="H49"/>
  <c r="H50"/>
  <c r="H51"/>
  <c r="H52"/>
  <c r="H53"/>
  <c r="H54"/>
  <c r="H55"/>
  <c r="H56"/>
  <c r="H57"/>
  <c r="H58"/>
  <c r="H59"/>
  <c r="H60"/>
  <c r="H61"/>
  <c r="H62"/>
  <c r="H63"/>
  <c r="H64"/>
  <c r="H65"/>
  <c r="H66"/>
  <c r="H67"/>
  <c r="H68"/>
  <c r="H69"/>
  <c r="H70"/>
  <c r="H71"/>
  <c r="H72"/>
  <c r="H73"/>
  <c r="H74"/>
  <c r="H75"/>
  <c r="H76"/>
  <c r="H77"/>
  <c r="H78"/>
  <c r="H79"/>
  <c r="H80"/>
  <c r="H81"/>
  <c r="H82"/>
  <c r="H83"/>
  <c r="H84"/>
  <c r="H85"/>
  <c r="H86"/>
  <c r="H87"/>
  <c r="H88"/>
  <c r="H89"/>
  <c r="H90"/>
  <c r="H91"/>
  <c r="H92"/>
  <c r="H93"/>
  <c r="H94"/>
  <c r="H95"/>
  <c r="H96"/>
  <c r="H97"/>
  <c r="H98"/>
  <c r="H99"/>
  <c r="H100"/>
  <c r="H101"/>
  <c r="H102"/>
  <c r="H103"/>
  <c r="H104"/>
  <c r="H105"/>
  <c r="H106"/>
  <c r="H107"/>
  <c r="H3"/>
  <c r="H180" i="24" l="1"/>
  <c r="H181" s="1"/>
  <c r="H182" s="1"/>
  <c r="H51" i="25"/>
  <c r="H53" s="1"/>
  <c r="H55" s="1"/>
  <c r="H108" i="26"/>
  <c r="H110" s="1"/>
  <c r="H112" s="1"/>
  <c r="I23" i="23"/>
  <c r="H9" i="22"/>
  <c r="H19" i="30" l="1"/>
  <c r="K139" i="29"/>
  <c r="K139" i="3"/>
  <c r="H5" i="22"/>
  <c r="I10" i="23"/>
  <c r="I6"/>
  <c r="H20" i="30" l="1"/>
  <c r="H21" s="1"/>
  <c r="M142" i="3"/>
  <c r="H23" i="30"/>
  <c r="H24" s="1"/>
  <c r="K140" i="29"/>
  <c r="K140" i="3"/>
  <c r="I14" i="23"/>
  <c r="I15"/>
  <c r="I16"/>
  <c r="I17"/>
  <c r="I20"/>
  <c r="I21"/>
  <c r="I22"/>
  <c r="I11"/>
  <c r="I7"/>
  <c r="I8"/>
  <c r="I9"/>
  <c r="H11" i="22"/>
  <c r="H6"/>
  <c r="H7"/>
  <c r="H8"/>
  <c r="H10"/>
  <c r="H25" i="30" l="1"/>
  <c r="H26" s="1"/>
  <c r="H12" i="22"/>
  <c r="K137" i="3" s="1"/>
  <c r="I12" i="23"/>
  <c r="I24" s="1"/>
  <c r="K138" i="29" s="1"/>
  <c r="K70" i="3"/>
  <c r="K137" i="29" l="1"/>
  <c r="K143" s="1"/>
  <c r="I18" i="23"/>
  <c r="K138" i="3" s="1"/>
  <c r="K143" s="1"/>
  <c r="K167" s="1"/>
  <c r="F68"/>
  <c r="K66" s="1"/>
  <c r="K167" i="29" l="1"/>
  <c r="K145"/>
  <c r="I150" s="1"/>
  <c r="K150" s="1"/>
  <c r="I151" s="1"/>
  <c r="K151" s="1"/>
  <c r="I152" s="1"/>
  <c r="K155" s="1"/>
  <c r="M143" i="3"/>
  <c r="K26"/>
  <c r="K158" i="29" l="1"/>
  <c r="K153"/>
  <c r="K152"/>
  <c r="K157"/>
  <c r="K154"/>
  <c r="G65" i="3"/>
  <c r="K63" s="1"/>
  <c r="I40"/>
  <c r="K160" i="29" l="1"/>
  <c r="K168" s="1"/>
  <c r="K169" l="1"/>
  <c r="A41" i="18"/>
  <c r="A33"/>
  <c r="A27"/>
  <c r="A21"/>
  <c r="A13"/>
  <c r="A7"/>
  <c r="E11" i="17"/>
  <c r="E9"/>
  <c r="E8"/>
  <c r="E7"/>
  <c r="E5"/>
  <c r="E4"/>
  <c r="C4" i="21" l="1"/>
  <c r="E4" s="1"/>
  <c r="G5" i="30" s="1"/>
  <c r="H5" s="1"/>
  <c r="M169" i="29"/>
  <c r="C42" i="18"/>
  <c r="C28"/>
  <c r="C21"/>
  <c r="C8"/>
  <c r="E8" s="1"/>
  <c r="E5" i="16"/>
  <c r="E8"/>
  <c r="E9"/>
  <c r="E10"/>
  <c r="E13"/>
  <c r="E4"/>
  <c r="C52" i="18"/>
  <c r="C53" s="1"/>
  <c r="E41" s="1"/>
  <c r="C50"/>
  <c r="G151" i="19"/>
  <c r="I152" s="1"/>
  <c r="F80"/>
  <c r="G80" s="1"/>
  <c r="K81"/>
  <c r="K72"/>
  <c r="K70"/>
  <c r="F68"/>
  <c r="K66" s="1"/>
  <c r="I52"/>
  <c r="I59" s="1"/>
  <c r="F148"/>
  <c r="K127"/>
  <c r="K84"/>
  <c r="B77"/>
  <c r="F77" s="1"/>
  <c r="K75" s="1"/>
  <c r="I42"/>
  <c r="I41"/>
  <c r="I40"/>
  <c r="K28"/>
  <c r="K27"/>
  <c r="K26"/>
  <c r="G65" s="1"/>
  <c r="K63" s="1"/>
  <c r="K30" i="3"/>
  <c r="K26" i="13"/>
  <c r="K29" s="1"/>
  <c r="F148"/>
  <c r="C33" i="18"/>
  <c r="C34"/>
  <c r="C14"/>
  <c r="D8" i="17"/>
  <c r="D9" s="1"/>
  <c r="D7"/>
  <c r="G151" i="13"/>
  <c r="I152" s="1"/>
  <c r="H120"/>
  <c r="K84"/>
  <c r="K81"/>
  <c r="F80"/>
  <c r="G80" s="1"/>
  <c r="K78" s="1"/>
  <c r="K72"/>
  <c r="K70"/>
  <c r="F68"/>
  <c r="K66" s="1"/>
  <c r="K27"/>
  <c r="K127"/>
  <c r="I42"/>
  <c r="I41"/>
  <c r="I40"/>
  <c r="K28" i="3"/>
  <c r="I52"/>
  <c r="I42"/>
  <c r="I41"/>
  <c r="F156"/>
  <c r="G159"/>
  <c r="I160" s="1"/>
  <c r="K132"/>
  <c r="I52" i="13"/>
  <c r="I59" s="1"/>
  <c r="C13" i="18"/>
  <c r="C41"/>
  <c r="I33" i="3"/>
  <c r="K31" s="1"/>
  <c r="K29"/>
  <c r="B77" i="13"/>
  <c r="F77" s="1"/>
  <c r="K75" s="1"/>
  <c r="K28"/>
  <c r="C22" i="18"/>
  <c r="H120" i="19"/>
  <c r="H102" i="13"/>
  <c r="H102" i="19"/>
  <c r="D34" i="18"/>
  <c r="E34" s="1"/>
  <c r="D14"/>
  <c r="D22"/>
  <c r="D28"/>
  <c r="E28" s="1"/>
  <c r="D21"/>
  <c r="D27"/>
  <c r="D13"/>
  <c r="D33"/>
  <c r="C27"/>
  <c r="C7"/>
  <c r="E7" s="1"/>
  <c r="E13" i="17"/>
  <c r="H121" i="19" l="1"/>
  <c r="H121" i="13"/>
  <c r="I43"/>
  <c r="E27" i="18"/>
  <c r="E29" s="1"/>
  <c r="G8" i="17" s="1"/>
  <c r="H8" s="1"/>
  <c r="K30" i="13"/>
  <c r="I43" i="19"/>
  <c r="K35" i="3"/>
  <c r="H122" i="13"/>
  <c r="H122" i="19"/>
  <c r="F41" i="18"/>
  <c r="H41" s="1"/>
  <c r="I33" i="19"/>
  <c r="K31" s="1"/>
  <c r="I33" i="13"/>
  <c r="K31" s="1"/>
  <c r="K35" s="1"/>
  <c r="G65"/>
  <c r="K63" s="1"/>
  <c r="K88" s="1"/>
  <c r="K78" i="19"/>
  <c r="K88" s="1"/>
  <c r="E42" i="18"/>
  <c r="F42" s="1"/>
  <c r="H42" s="1"/>
  <c r="K29" i="19"/>
  <c r="I43" i="3"/>
  <c r="E33" i="18"/>
  <c r="E35" s="1"/>
  <c r="G9" i="17" s="1"/>
  <c r="H9" s="1"/>
  <c r="K30" i="19"/>
  <c r="E22" i="18"/>
  <c r="E14"/>
  <c r="E21"/>
  <c r="E13"/>
  <c r="E15" i="16"/>
  <c r="I59" i="3"/>
  <c r="K73"/>
  <c r="E9" i="18"/>
  <c r="G4" i="17" s="1"/>
  <c r="H4" s="1"/>
  <c r="K120" i="3" l="1"/>
  <c r="K163"/>
  <c r="K78"/>
  <c r="K81"/>
  <c r="K35" i="19"/>
  <c r="E15" i="18"/>
  <c r="G5" i="17" s="1"/>
  <c r="H5" s="1"/>
  <c r="E23" i="18"/>
  <c r="G7" i="17" s="1"/>
  <c r="H7" s="1"/>
  <c r="H43" i="18"/>
  <c r="G11" i="17" s="1"/>
  <c r="H11" s="1"/>
  <c r="H14" s="1"/>
  <c r="H17" s="1"/>
  <c r="H18" s="1"/>
  <c r="K92" i="13"/>
  <c r="K42"/>
  <c r="K106"/>
  <c r="K155"/>
  <c r="K40"/>
  <c r="K46"/>
  <c r="K41"/>
  <c r="K92" i="19"/>
  <c r="K106"/>
  <c r="K42"/>
  <c r="K155"/>
  <c r="K46"/>
  <c r="K40"/>
  <c r="K41"/>
  <c r="K46" i="3"/>
  <c r="K42"/>
  <c r="K41"/>
  <c r="K40"/>
  <c r="K43" i="13" l="1"/>
  <c r="K43" i="19"/>
  <c r="K43" i="3"/>
  <c r="K47" l="1"/>
  <c r="K48" s="1"/>
  <c r="K58" s="1"/>
  <c r="K80" s="1"/>
  <c r="K79"/>
  <c r="K47" i="19"/>
  <c r="K48" s="1"/>
  <c r="K93"/>
  <c r="K94" s="1"/>
  <c r="K107"/>
  <c r="K108" s="1"/>
  <c r="K93" i="13"/>
  <c r="K94" s="1"/>
  <c r="K107"/>
  <c r="K108" s="1"/>
  <c r="K47"/>
  <c r="K48" s="1"/>
  <c r="K54" i="3"/>
  <c r="K52" l="1"/>
  <c r="K57"/>
  <c r="K55"/>
  <c r="K56"/>
  <c r="K50"/>
  <c r="K51"/>
  <c r="K82"/>
  <c r="K83" s="1"/>
  <c r="K85" s="1"/>
  <c r="K90"/>
  <c r="K91" s="1"/>
  <c r="K93" s="1"/>
  <c r="K94" s="1"/>
  <c r="K84"/>
  <c r="K98" i="13"/>
  <c r="K101"/>
  <c r="K99"/>
  <c r="K100"/>
  <c r="K96"/>
  <c r="K97"/>
  <c r="K117" i="19"/>
  <c r="K110"/>
  <c r="K115"/>
  <c r="K113"/>
  <c r="K111"/>
  <c r="K121"/>
  <c r="K54" i="13"/>
  <c r="K58"/>
  <c r="K51"/>
  <c r="K52"/>
  <c r="K57"/>
  <c r="K55"/>
  <c r="K50"/>
  <c r="K56"/>
  <c r="K99" i="19"/>
  <c r="K100"/>
  <c r="K96"/>
  <c r="K101"/>
  <c r="K97"/>
  <c r="K98"/>
  <c r="K111" i="13"/>
  <c r="K115"/>
  <c r="K110"/>
  <c r="K117"/>
  <c r="K113"/>
  <c r="K121"/>
  <c r="K51" i="19"/>
  <c r="K54"/>
  <c r="K52"/>
  <c r="K57"/>
  <c r="K55"/>
  <c r="K58"/>
  <c r="K56"/>
  <c r="K50"/>
  <c r="K59" i="3" l="1"/>
  <c r="K74" s="1"/>
  <c r="K87"/>
  <c r="K88" s="1"/>
  <c r="K102" i="19"/>
  <c r="K157" s="1"/>
  <c r="K59" i="13"/>
  <c r="K89" s="1"/>
  <c r="K156" s="1"/>
  <c r="K102"/>
  <c r="K157" s="1"/>
  <c r="K59" i="19"/>
  <c r="K89" s="1"/>
  <c r="K120"/>
  <c r="K122" s="1"/>
  <c r="K129" s="1"/>
  <c r="K158" s="1"/>
  <c r="K120" i="13"/>
  <c r="K122" s="1"/>
  <c r="K129" s="1"/>
  <c r="K158" s="1"/>
  <c r="K96" i="3" l="1"/>
  <c r="K97" s="1"/>
  <c r="K99" s="1"/>
  <c r="K100" s="1"/>
  <c r="K101" s="1"/>
  <c r="K121"/>
  <c r="K164"/>
  <c r="K133" i="13"/>
  <c r="K135" s="1"/>
  <c r="K159" s="1"/>
  <c r="K156" i="19"/>
  <c r="K133"/>
  <c r="K135" s="1"/>
  <c r="K159" s="1"/>
  <c r="K122" i="3" l="1"/>
  <c r="K123" s="1"/>
  <c r="K124" s="1"/>
  <c r="K125" s="1"/>
  <c r="K126" s="1"/>
  <c r="K127" s="1"/>
  <c r="K134" s="1"/>
  <c r="K165"/>
  <c r="K137" i="19"/>
  <c r="I142"/>
  <c r="K142" s="1"/>
  <c r="K137" i="13"/>
  <c r="I142"/>
  <c r="K166" i="3" l="1"/>
  <c r="K145"/>
  <c r="I150" s="1"/>
  <c r="K142" i="13"/>
  <c r="I143" i="19"/>
  <c r="K150" i="3" l="1"/>
  <c r="K143" i="19"/>
  <c r="I144" s="1"/>
  <c r="I143" i="13"/>
  <c r="I151" i="3" l="1"/>
  <c r="K143" i="13"/>
  <c r="K146" i="19"/>
  <c r="K144"/>
  <c r="K149"/>
  <c r="K145"/>
  <c r="K150"/>
  <c r="K147"/>
  <c r="K151" i="3" l="1"/>
  <c r="I152" s="1"/>
  <c r="K152" i="19"/>
  <c r="K160" s="1"/>
  <c r="K161" s="1"/>
  <c r="I144" i="13"/>
  <c r="K155" i="3" l="1"/>
  <c r="K153"/>
  <c r="K152"/>
  <c r="K146" i="13"/>
  <c r="K147"/>
  <c r="K144"/>
  <c r="K145"/>
  <c r="K150"/>
  <c r="K149"/>
  <c r="K152" l="1"/>
  <c r="K160" s="1"/>
  <c r="K161" s="1"/>
  <c r="K154" i="3"/>
  <c r="K157"/>
  <c r="K158"/>
  <c r="K160" l="1"/>
  <c r="K168" s="1"/>
  <c r="K169" s="1"/>
  <c r="M168" s="1"/>
  <c r="N142" l="1"/>
  <c r="O142" s="1"/>
  <c r="P142" s="1"/>
  <c r="C3" i="21"/>
  <c r="E3" s="1"/>
  <c r="G4" i="30" s="1"/>
  <c r="H4" s="1"/>
  <c r="H6" s="1"/>
  <c r="H15" l="1"/>
  <c r="H16" s="1"/>
  <c r="H17" s="1"/>
  <c r="H18" s="1"/>
  <c r="H33" s="1"/>
</calcChain>
</file>

<file path=xl/comments1.xml><?xml version="1.0" encoding="utf-8"?>
<comments xmlns="http://schemas.openxmlformats.org/spreadsheetml/2006/main">
  <authors>
    <author>Henrique Pereira Soares</author>
    <author>Andreia Alves de Lima</author>
  </authors>
  <commentList>
    <comment ref="A24" authorId="0">
      <text>
        <r>
          <rPr>
            <b/>
            <sz val="9"/>
            <color indexed="81"/>
            <rFont val="Segoe UI"/>
            <family val="2"/>
          </rPr>
          <t>NOTA 1: O Módulo 1 refere-se ao valor mensal devido ao empregado pela prestação do serviço no período de 12 meses.</t>
        </r>
      </text>
    </comment>
    <comment ref="A37" authorId="0">
      <text>
        <r>
          <rPr>
            <b/>
            <sz val="9"/>
            <color indexed="81"/>
            <rFont val="Segoe UI"/>
            <family val="2"/>
          </rPr>
          <t>Nota 1: Como a planilha de custos e formação de preços é calculada mensalmente, provisiona-se proporcionalmente 1/12 (um doze avos) dos valores referentes a gratificação natalina, férias e adicional de férias. (Redação dada pela Instrução Normativa nº 7, de 2018)
Nota 2: O adicional de férias contido no Submódulo 2.1 corresponde a 1/3 (um terço) da remuneração que por sua vez é divido por 12 (doze) conforme Nota 1 acima.
Nota 3: Levando em consideração a vigência contratual prevista no art. 57 da Lei nº 8.666, de 23 de junho de 1993, a rubrica férias tem como objetivo principal suprir a necessidade do pagamento das férias remuneradas ao final do contrato de 12 meses. Esta rubrica, quando da prorrogação contratual, torna-se custo não renovável.  (Incluído pela Instrução Normativa nº 7, de 2018)</t>
        </r>
        <r>
          <rPr>
            <sz val="9"/>
            <color indexed="81"/>
            <rFont val="Segoe UI"/>
            <family val="2"/>
          </rPr>
          <t xml:space="preserve">
</t>
        </r>
      </text>
    </comment>
    <comment ref="A45" authorId="0">
      <text>
        <r>
          <rPr>
            <b/>
            <sz val="9"/>
            <color indexed="81"/>
            <rFont val="Segoe UI"/>
            <family val="2"/>
          </rPr>
          <t>Nota 1: Os percentuais dos encargos previdenciários, do FGTS e demais contribuições são aqueles estabelecidos pela legislação vigente.
Nota 2: O SAT a depender do grau de risco do serviço irá variar entre 1%, para risco leve, de 2%, para risco médio, e de 3% de risco grave.
Nota 3: Esses percentuais incidem sobre o Módulo 1, o Submódulo 2.1. (Redação dada pela Instrução Normativa nº 7, de 2018)</t>
        </r>
      </text>
    </comment>
    <comment ref="I52" authorId="0">
      <text>
        <r>
          <rPr>
            <b/>
            <sz val="9"/>
            <color indexed="81"/>
            <rFont val="Segoe UI"/>
            <family val="2"/>
          </rPr>
          <t>INFORMAÇÃO A SER PREENCHIDA PELA LICITANTE (entre 1% e 3%)</t>
        </r>
      </text>
    </comment>
    <comment ref="A61" authorId="0">
      <text>
        <r>
          <rPr>
            <b/>
            <sz val="9"/>
            <color indexed="81"/>
            <rFont val="Segoe UI"/>
            <family val="2"/>
          </rPr>
          <t>Nota 1: O valor informado deverá ser o custo real do benefício (descontado o valor eventualmente pago pelo empregado).
Nota 2: Observar a previsão dos benefícios contidos em Acordos, Convenções e Dissídios Coletivos de Trabalho e atentar-se ao disposto no art. 6º desta Instrução Normativa.</t>
        </r>
      </text>
    </comment>
    <comment ref="A103" authorId="1">
      <text>
        <r>
          <rPr>
            <b/>
            <sz val="9"/>
            <color indexed="81"/>
            <rFont val="Segoe UI"/>
            <family val="2"/>
          </rPr>
          <t>Nota 1: Os itens que contemplam o módulo 4 se referem ao custo dos dias trabalhados pelo repositor/substituto, quando o empregado alocado na prestação de serviço estiver ausente, conforme as previsões estabelecidas na legislação.</t>
        </r>
        <r>
          <rPr>
            <sz val="9"/>
            <color indexed="81"/>
            <rFont val="Segoe UI"/>
            <family val="2"/>
          </rPr>
          <t xml:space="preserve">
</t>
        </r>
      </text>
    </comment>
    <comment ref="A136" authorId="0">
      <text>
        <r>
          <rPr>
            <b/>
            <sz val="9"/>
            <color indexed="81"/>
            <rFont val="Segoe UI"/>
            <family val="2"/>
          </rPr>
          <t xml:space="preserve">Nota: Valores mensais por empregado
</t>
        </r>
      </text>
    </comment>
    <comment ref="B152" authorId="0">
      <text>
        <r>
          <rPr>
            <b/>
            <sz val="9"/>
            <color indexed="81"/>
            <rFont val="Segoe UI"/>
            <family val="2"/>
          </rPr>
          <t xml:space="preserve">ATENÇÃO: OS PERCENTUAIS DEVEM SER AJUSTADOS AO REGIME DE FATURAMENTO DA LICITANTE.
OS PERCENTUAIS DE REFERÊNCIA SÃO PARA EMPRESAS QUE RECOLHEM SOBRE O LUCRO REAL. </t>
        </r>
      </text>
    </comment>
  </commentList>
</comments>
</file>

<file path=xl/comments2.xml><?xml version="1.0" encoding="utf-8"?>
<comments xmlns="http://schemas.openxmlformats.org/spreadsheetml/2006/main">
  <authors>
    <author>Henrique Pereira Soares</author>
  </authors>
  <commentList>
    <comment ref="A24" authorId="0">
      <text>
        <r>
          <rPr>
            <b/>
            <sz val="9"/>
            <color indexed="81"/>
            <rFont val="Segoe UI"/>
            <family val="2"/>
          </rPr>
          <t>NOTA 1: O Módulo 1 refere-se ao valor mensal devido ao empregado pela prestação do serviço no período de 12 meses.</t>
        </r>
      </text>
    </comment>
    <comment ref="K26" authorId="0">
      <text>
        <r>
          <rPr>
            <b/>
            <sz val="9"/>
            <color indexed="81"/>
            <rFont val="Segoe UI"/>
            <family val="2"/>
          </rPr>
          <t xml:space="preserve">SALÁRIO BASE PROPORCIONAL À CARGA HORÁRIA SEMANAL
</t>
        </r>
      </text>
    </comment>
    <comment ref="A37" authorId="0">
      <text>
        <r>
          <rPr>
            <b/>
            <sz val="9"/>
            <color indexed="81"/>
            <rFont val="Segoe UI"/>
            <family val="2"/>
          </rPr>
          <t>Nota 1: Como a planilha de custos e formação de preços é calculada mensalmente, provisiona-se proporcionalmente 1/12 (um doze avos) dos valores referentes a gratificação natalina, férias e adicional de férias. (Redação dada pela Instrução Normativa nº 7, de 2018)
Nota 2: O adicional de férias contido no Submódulo 2.1 corresponde a 1/3 (um terço) da remuneração que por sua vez é divido por 12 (doze) conforme Nota 1 acima.
Nota 3: Levando em consideração a vigência contratual prevista no art. 57 da Lei nº 8.666, de 23 de junho de 1993, a rubrica férias tem como objetivo principal suprir a necessidade do pagamento das férias remuneradas ao final do contrato de 12 meses. Esta rubrica, quando da prorrogação contratual, torna-se custo não renovável.  (Incluído pela Instrução Normativa nº 7, de 2018)</t>
        </r>
        <r>
          <rPr>
            <sz val="9"/>
            <color indexed="81"/>
            <rFont val="Segoe UI"/>
            <family val="2"/>
          </rPr>
          <t xml:space="preserve">
</t>
        </r>
      </text>
    </comment>
    <comment ref="A45" authorId="0">
      <text>
        <r>
          <rPr>
            <b/>
            <sz val="9"/>
            <color indexed="81"/>
            <rFont val="Segoe UI"/>
            <family val="2"/>
          </rPr>
          <t>Nota 1: Os percentuais dos encargos previdenciários, do FGTS e demais contribuições são aqueles estabelecidos pela legislação vigente.
Nota 2: O SAT a depender do grau de risco do serviço irá variar entre 1%, para risco leve, de 2%, para risco médio, e de 3% de risco grave.
Nota 3: Esses percentuais incidem sobre o Módulo 1, o Submódulo 2.1. (Redação dada pela Instrução Normativa nº 7, de 2018)</t>
        </r>
      </text>
    </comment>
    <comment ref="I52" authorId="0">
      <text>
        <r>
          <rPr>
            <b/>
            <sz val="9"/>
            <color indexed="81"/>
            <rFont val="Segoe UI"/>
            <family val="2"/>
          </rPr>
          <t>INFORMAÇÃO A SER PREENCHIDA PELA LICITANTE (entre 1% e 3%)</t>
        </r>
      </text>
    </comment>
    <comment ref="A61" authorId="0">
      <text>
        <r>
          <rPr>
            <b/>
            <sz val="9"/>
            <color indexed="81"/>
            <rFont val="Segoe UI"/>
            <family val="2"/>
          </rPr>
          <t>Nota 1: O valor informado deverá ser o custo real do benefício (descontado o valor eventualmente pago pelo empregado).
Nota 2: Observar a previsão dos benefícios contidos em Acordos, Convenções e Dissídios Coletivos de Trabalho e atentar-se ao disposto no art. 6º desta Instrução Normativa.</t>
        </r>
      </text>
    </comment>
    <comment ref="A91" authorId="0">
      <text>
        <r>
          <rPr>
            <b/>
            <sz val="9"/>
            <color indexed="81"/>
            <rFont val="Segoe UI"/>
            <family val="2"/>
          </rPr>
          <t>Nota 1: Os itens que contemplam o módulo 4 se referem ao custo dos dias trabalhados pelo repositor/substituto, quando o empregado alocado na prestação de serviço estiver ausente, conforme as previsões estabelecidas na legislação.</t>
        </r>
      </text>
    </comment>
    <comment ref="A131" authorId="0">
      <text>
        <r>
          <rPr>
            <b/>
            <sz val="9"/>
            <color indexed="81"/>
            <rFont val="Segoe UI"/>
            <family val="2"/>
          </rPr>
          <t xml:space="preserve">Nota: Valores mensais por empregado
</t>
        </r>
      </text>
    </comment>
    <comment ref="B144" authorId="0">
      <text>
        <r>
          <rPr>
            <b/>
            <sz val="9"/>
            <color indexed="81"/>
            <rFont val="Segoe UI"/>
            <family val="2"/>
          </rPr>
          <t xml:space="preserve">ATENÇÃO: OS PERCENTUAIS DEVEM SER AJUSTADOS AO REGIME DE FATURAMENTO DA LICITANTE.
OS PERCENTUAIS DE REFERÊNCIA SÃO PARA EMPRESAS QUE RECOLHEM SOBRE O LUCRO REAL. </t>
        </r>
      </text>
    </comment>
  </commentList>
</comments>
</file>

<file path=xl/comments3.xml><?xml version="1.0" encoding="utf-8"?>
<comments xmlns="http://schemas.openxmlformats.org/spreadsheetml/2006/main">
  <authors>
    <author>Henrique Pereira Soares</author>
  </authors>
  <commentList>
    <comment ref="A24" authorId="0">
      <text>
        <r>
          <rPr>
            <b/>
            <sz val="9"/>
            <color indexed="81"/>
            <rFont val="Segoe UI"/>
            <family val="2"/>
          </rPr>
          <t>NOTA 1: O Módulo 1 refere-se ao valor mensal devido ao empregado pela prestação do serviço no período de 12 meses.</t>
        </r>
      </text>
    </comment>
    <comment ref="K26" authorId="0">
      <text>
        <r>
          <rPr>
            <b/>
            <sz val="9"/>
            <color indexed="81"/>
            <rFont val="Segoe UI"/>
            <family val="2"/>
          </rPr>
          <t xml:space="preserve">SALÁRIO BASE PROPORCIONAL À CARGA HORÁRIA SEMANAL
</t>
        </r>
      </text>
    </comment>
    <comment ref="A37" authorId="0">
      <text>
        <r>
          <rPr>
            <b/>
            <sz val="9"/>
            <color indexed="81"/>
            <rFont val="Segoe UI"/>
            <family val="2"/>
          </rPr>
          <t>Nota 1: Como a planilha de custos e formação de preços é calculada mensalmente, provisiona-se proporcionalmente 1/12 (um doze avos) dos valores referentes a gratificação natalina, férias e adicional de férias. (Redação dada pela Instrução Normativa nº 7, de 2018)
Nota 2: O adicional de férias contido no Submódulo 2.1 corresponde a 1/3 (um terço) da remuneração que por sua vez é divido por 12 (doze) conforme Nota 1 acima.
Nota 3: Levando em consideração a vigência contratual prevista no art. 57 da Lei nº 8.666, de 23 de junho de 1993, a rubrica férias tem como objetivo principal suprir a necessidade do pagamento das férias remuneradas ao final do contrato de 12 meses. Esta rubrica, quando da prorrogação contratual, torna-se custo não renovável.  (Incluído pela Instrução Normativa nº 7, de 2018)</t>
        </r>
        <r>
          <rPr>
            <sz val="9"/>
            <color indexed="81"/>
            <rFont val="Segoe UI"/>
            <family val="2"/>
          </rPr>
          <t xml:space="preserve">
</t>
        </r>
      </text>
    </comment>
    <comment ref="A45" authorId="0">
      <text>
        <r>
          <rPr>
            <b/>
            <sz val="9"/>
            <color indexed="81"/>
            <rFont val="Segoe UI"/>
            <family val="2"/>
          </rPr>
          <t>Nota 1: Os percentuais dos encargos previdenciários, do FGTS e demais contribuições são aqueles estabelecidos pela legislação vigente.
Nota 2: O SAT a depender do grau de risco do serviço irá variar entre 1%, para risco leve, de 2%, para risco médio, e de 3% de risco grave.
Nota 3: Esses percentuais incidem sobre o Módulo 1, o Submódulo 2.1. (Redação dada pela Instrução Normativa nº 7, de 2018)</t>
        </r>
      </text>
    </comment>
    <comment ref="I52" authorId="0">
      <text>
        <r>
          <rPr>
            <b/>
            <sz val="9"/>
            <color indexed="81"/>
            <rFont val="Segoe UI"/>
            <family val="2"/>
          </rPr>
          <t>INFORMAÇÃO A SER PREENCHIDA PELA LICITANTE (entre 1% e 3%)</t>
        </r>
      </text>
    </comment>
    <comment ref="A61" authorId="0">
      <text>
        <r>
          <rPr>
            <b/>
            <sz val="9"/>
            <color indexed="81"/>
            <rFont val="Segoe UI"/>
            <family val="2"/>
          </rPr>
          <t>Nota 1: O valor informado deverá ser o custo real do benefício (descontado o valor eventualmente pago pelo empregado).
Nota 2: Observar a previsão dos benefícios contidos em Acordos, Convenções e Dissídios Coletivos de Trabalho e atentar-se ao disposto no art. 6º desta Instrução Normativa.</t>
        </r>
      </text>
    </comment>
    <comment ref="A91" authorId="0">
      <text>
        <r>
          <rPr>
            <b/>
            <sz val="9"/>
            <color indexed="81"/>
            <rFont val="Segoe UI"/>
            <family val="2"/>
          </rPr>
          <t>Nota 1: Os itens que contemplam o módulo 4 se referem ao custo dos dias trabalhados pelo repositor/substituto, quando o empregado alocado na prestação de serviço estiver ausente, conforme as previsões estabelecidas na legislação.</t>
        </r>
      </text>
    </comment>
    <comment ref="A131" authorId="0">
      <text>
        <r>
          <rPr>
            <b/>
            <sz val="9"/>
            <color indexed="81"/>
            <rFont val="Segoe UI"/>
            <family val="2"/>
          </rPr>
          <t xml:space="preserve">Nota: Valores mensais por empregado
</t>
        </r>
      </text>
    </comment>
    <comment ref="B144" authorId="0">
      <text>
        <r>
          <rPr>
            <b/>
            <sz val="9"/>
            <color indexed="81"/>
            <rFont val="Segoe UI"/>
            <family val="2"/>
          </rPr>
          <t xml:space="preserve">ATENÇÃO: OS PERCENTUAIS DEVEM SER AJUSTADOS AO REGIME DE FATURAMENTO DA LICITANTE.
OS PERCENTUAIS DE REFERÊNCIA SÃO PARA EMPRESAS QUE RECOLHEM SOBRE O LUCRO REAL. </t>
        </r>
      </text>
    </comment>
  </commentList>
</comments>
</file>

<file path=xl/comments4.xml><?xml version="1.0" encoding="utf-8"?>
<comments xmlns="http://schemas.openxmlformats.org/spreadsheetml/2006/main">
  <authors>
    <author>Henrique Pereira Soares</author>
    <author>Andreia Alves de Lima</author>
  </authors>
  <commentList>
    <comment ref="A24" authorId="0">
      <text>
        <r>
          <rPr>
            <b/>
            <sz val="9"/>
            <color indexed="81"/>
            <rFont val="Segoe UI"/>
            <family val="2"/>
          </rPr>
          <t>NOTA 1: O Módulo 1 refere-se ao valor mensal devido ao empregado pela prestação do serviço no período de 12 meses.</t>
        </r>
      </text>
    </comment>
    <comment ref="A37" authorId="0">
      <text>
        <r>
          <rPr>
            <b/>
            <sz val="9"/>
            <color indexed="81"/>
            <rFont val="Segoe UI"/>
            <family val="2"/>
          </rPr>
          <t>Nota 1: Como a planilha de custos e formação de preços é calculada mensalmente, provisiona-se proporcionalmente 1/12 (um doze avos) dos valores referentes a gratificação natalina, férias e adicional de férias. (Redação dada pela Instrução Normativa nº 7, de 2018)
Nota 2: O adicional de férias contido no Submódulo 2.1 corresponde a 1/3 (um terço) da remuneração que por sua vez é divido por 12 (doze) conforme Nota 1 acima.
Nota 3: Levando em consideração a vigência contratual prevista no art. 57 da Lei nº 8.666, de 23 de junho de 1993, a rubrica férias tem como objetivo principal suprir a necessidade do pagamento das férias remuneradas ao final do contrato de 12 meses. Esta rubrica, quando da prorrogação contratual, torna-se custo não renovável.  (Incluído pela Instrução Normativa nº 7, de 2018)</t>
        </r>
        <r>
          <rPr>
            <sz val="9"/>
            <color indexed="81"/>
            <rFont val="Segoe UI"/>
            <family val="2"/>
          </rPr>
          <t xml:space="preserve">
</t>
        </r>
      </text>
    </comment>
    <comment ref="A45" authorId="0">
      <text>
        <r>
          <rPr>
            <b/>
            <sz val="9"/>
            <color indexed="81"/>
            <rFont val="Segoe UI"/>
            <family val="2"/>
          </rPr>
          <t>Nota 1: Os percentuais dos encargos previdenciários, do FGTS e demais contribuições são aqueles estabelecidos pela legislação vigente.
Nota 2: O SAT a depender do grau de risco do serviço irá variar entre 1%, para risco leve, de 2%, para risco médio, e de 3% de risco grave.
Nota 3: Esses percentuais incidem sobre o Módulo 1, o Submódulo 2.1. (Redação dada pela Instrução Normativa nº 7, de 2018)</t>
        </r>
      </text>
    </comment>
    <comment ref="I52" authorId="0">
      <text>
        <r>
          <rPr>
            <b/>
            <sz val="9"/>
            <color indexed="81"/>
            <rFont val="Segoe UI"/>
            <family val="2"/>
          </rPr>
          <t>INFORMAÇÃO A SER PREENCHIDA PELA LICITANTE (entre 1% e 3%)</t>
        </r>
      </text>
    </comment>
    <comment ref="A61" authorId="0">
      <text>
        <r>
          <rPr>
            <b/>
            <sz val="9"/>
            <color indexed="81"/>
            <rFont val="Segoe UI"/>
            <family val="2"/>
          </rPr>
          <t>Nota 1: O valor informado deverá ser o custo real do benefício (descontado o valor eventualmente pago pelo empregado).
Nota 2: Observar a previsão dos benefícios contidos em Acordos, Convenções e Dissídios Coletivos de Trabalho e atentar-se ao disposto no art. 6º desta Instrução Normativa.</t>
        </r>
      </text>
    </comment>
    <comment ref="A103" authorId="1">
      <text>
        <r>
          <rPr>
            <b/>
            <sz val="9"/>
            <color indexed="81"/>
            <rFont val="Segoe UI"/>
            <family val="2"/>
          </rPr>
          <t>Nota 1: Os itens que contemplam o módulo 4 se referem ao custo dos dias trabalhados pelo repositor/substituto, quando o empregado alocado na prestação de serviço estiver ausente, conforme as previsões estabelecidas na legislação.</t>
        </r>
        <r>
          <rPr>
            <sz val="9"/>
            <color indexed="81"/>
            <rFont val="Segoe UI"/>
            <family val="2"/>
          </rPr>
          <t xml:space="preserve">
</t>
        </r>
      </text>
    </comment>
    <comment ref="A136" authorId="0">
      <text>
        <r>
          <rPr>
            <b/>
            <sz val="9"/>
            <color indexed="81"/>
            <rFont val="Segoe UI"/>
            <family val="2"/>
          </rPr>
          <t xml:space="preserve">Nota: Valores mensais por empregado
</t>
        </r>
      </text>
    </comment>
    <comment ref="B152" authorId="0">
      <text>
        <r>
          <rPr>
            <b/>
            <sz val="9"/>
            <color indexed="81"/>
            <rFont val="Segoe UI"/>
            <family val="2"/>
          </rPr>
          <t xml:space="preserve">ATENÇÃO: OS PERCENTUAIS DEVEM SER AJUSTADOS AO REGIME DE FATURAMENTO DA LICITANTE.
OS PERCENTUAIS DE REFERÊNCIA SÃO PARA EMPRESAS QUE RECOLHEM SOBRE O LUCRO REAL. </t>
        </r>
      </text>
    </comment>
  </commentList>
</comments>
</file>

<file path=xl/comments5.xml><?xml version="1.0" encoding="utf-8"?>
<comments xmlns="http://schemas.openxmlformats.org/spreadsheetml/2006/main">
  <authors>
    <author>silvia.yamashita</author>
  </authors>
  <commentList>
    <comment ref="D13" authorId="0">
      <text>
        <r>
          <rPr>
            <b/>
            <sz val="9"/>
            <color indexed="81"/>
            <rFont val="Tahoma"/>
            <family val="2"/>
          </rPr>
          <t>silvia.yamashita:</t>
        </r>
        <r>
          <rPr>
            <sz val="9"/>
            <color indexed="81"/>
            <rFont val="Tahoma"/>
            <family val="2"/>
          </rPr>
          <t xml:space="preserve">
Descrição SINAPI:
LUMINARIA DE EMERGENCIA 30 LEDS, POTENCIA 2 W, BATERIA DE LITIO, AUTONOMIA DE 6 HORAS</t>
        </r>
      </text>
    </comment>
    <comment ref="D15" authorId="0">
      <text>
        <r>
          <rPr>
            <b/>
            <sz val="9"/>
            <color indexed="81"/>
            <rFont val="Tahoma"/>
            <family val="2"/>
          </rPr>
          <t>silvia.yamashita:</t>
        </r>
        <r>
          <rPr>
            <sz val="9"/>
            <color indexed="81"/>
            <rFont val="Tahoma"/>
            <family val="2"/>
          </rPr>
          <t xml:space="preserve">
Descrição SINAPI:
LAMPADA LED TUBULAR BIVOLT 18/20 W, BASE G13</t>
        </r>
      </text>
    </comment>
    <comment ref="D17" authorId="0">
      <text>
        <r>
          <rPr>
            <b/>
            <sz val="9"/>
            <color indexed="81"/>
            <rFont val="Tahoma"/>
            <family val="2"/>
          </rPr>
          <t>silvia.yamashita:</t>
        </r>
        <r>
          <rPr>
            <sz val="9"/>
            <color indexed="81"/>
            <rFont val="Tahoma"/>
            <family val="2"/>
          </rPr>
          <t xml:space="preserve">
Descrição SINAPI:
TOMADA 2P+T 10A, 250V, CONJUNTO MONTADO PARA SOBREPOR 4" X 2" (CAIXA + MODULO)</t>
        </r>
      </text>
    </comment>
    <comment ref="D18" authorId="0">
      <text>
        <r>
          <rPr>
            <b/>
            <sz val="9"/>
            <color indexed="81"/>
            <rFont val="Tahoma"/>
            <family val="2"/>
          </rPr>
          <t>silvia.yamashita:</t>
        </r>
        <r>
          <rPr>
            <sz val="9"/>
            <color indexed="81"/>
            <rFont val="Tahoma"/>
            <family val="2"/>
          </rPr>
          <t xml:space="preserve">
Descrição SINAPI:
ESPELHO / PLACA DE 4 POSTOS 4" X 4", PARA INSTALACAO DE TOMADAS E INTERRUPTORES</t>
        </r>
      </text>
    </comment>
    <comment ref="D20" authorId="0">
      <text>
        <r>
          <rPr>
            <b/>
            <sz val="9"/>
            <color indexed="81"/>
            <rFont val="Tahoma"/>
            <family val="2"/>
          </rPr>
          <t>silvia.yamashita:</t>
        </r>
        <r>
          <rPr>
            <sz val="9"/>
            <color indexed="81"/>
            <rFont val="Tahoma"/>
            <family val="2"/>
          </rPr>
          <t xml:space="preserve">
Descrição SINAPI:
CABO DE COBRE, FLEXIVEL, CLASSE 4 OU 5, ISOLACAO EM PVC/A, ANTICHAMA BWF-B, 1 CONDUTOR, 450/750 V, SECAO NOMINAL 1,5 MM2</t>
        </r>
      </text>
    </comment>
    <comment ref="D21" authorId="0">
      <text>
        <r>
          <rPr>
            <b/>
            <sz val="9"/>
            <color indexed="81"/>
            <rFont val="Tahoma"/>
            <family val="2"/>
          </rPr>
          <t>silvia.yamashita:</t>
        </r>
        <r>
          <rPr>
            <sz val="9"/>
            <color indexed="81"/>
            <rFont val="Tahoma"/>
            <family val="2"/>
          </rPr>
          <t xml:space="preserve">
Descrição SINAPI:
CABO DE COBRE, FLEXIVEL, CLASSE 4 OU 5, ISOLACAO EM PVC/A, ANTICHAMA BWF-B, 1 CONDUTOR, 450/750 V, SECAO NOMINAL 2,5 MM2</t>
        </r>
      </text>
    </comment>
    <comment ref="D24" authorId="0">
      <text>
        <r>
          <rPr>
            <b/>
            <sz val="9"/>
            <color indexed="81"/>
            <rFont val="Tahoma"/>
            <family val="2"/>
          </rPr>
          <t>silvia.yamashita:</t>
        </r>
        <r>
          <rPr>
            <sz val="9"/>
            <color indexed="81"/>
            <rFont val="Tahoma"/>
            <family val="2"/>
          </rPr>
          <t xml:space="preserve">
Descrição SINAPI:
SOQUETE DE PORCELANA BASE E27, FIXO DE TETO, PARA LAMPADAS</t>
        </r>
      </text>
    </comment>
    <comment ref="D25" authorId="0">
      <text>
        <r>
          <rPr>
            <b/>
            <sz val="9"/>
            <color indexed="81"/>
            <rFont val="Tahoma"/>
            <family val="2"/>
          </rPr>
          <t>silvia.yamashita:</t>
        </r>
        <r>
          <rPr>
            <sz val="9"/>
            <color indexed="81"/>
            <rFont val="Tahoma"/>
            <family val="2"/>
          </rPr>
          <t xml:space="preserve">
Descrição SINAPI:
INTERRUPTOR BIPOLAR SIMPLES 10 A, 250 V (APENAS MODULO)</t>
        </r>
      </text>
    </comment>
    <comment ref="D27" authorId="0">
      <text>
        <r>
          <rPr>
            <b/>
            <sz val="9"/>
            <color indexed="81"/>
            <rFont val="Tahoma"/>
            <family val="2"/>
          </rPr>
          <t>silvia.yamashita:</t>
        </r>
        <r>
          <rPr>
            <sz val="9"/>
            <color indexed="81"/>
            <rFont val="Tahoma"/>
            <family val="2"/>
          </rPr>
          <t xml:space="preserve">
Descrição SINAPI:
TOMADA 2P+T 10A, 250V  (APENAS MODULO)</t>
        </r>
      </text>
    </comment>
    <comment ref="D28" authorId="0">
      <text>
        <r>
          <rPr>
            <b/>
            <sz val="9"/>
            <color indexed="81"/>
            <rFont val="Tahoma"/>
            <family val="2"/>
          </rPr>
          <t>silvia.yamashita:</t>
        </r>
        <r>
          <rPr>
            <sz val="9"/>
            <color indexed="81"/>
            <rFont val="Tahoma"/>
            <family val="2"/>
          </rPr>
          <t xml:space="preserve">
Descrição SINAPI:
TOMADA 2P+T 20A, 250V  (APENAS MODULO)</t>
        </r>
      </text>
    </comment>
    <comment ref="D29" authorId="0">
      <text>
        <r>
          <rPr>
            <b/>
            <sz val="9"/>
            <color indexed="81"/>
            <rFont val="Tahoma"/>
            <family val="2"/>
          </rPr>
          <t>silvia.yamashita:</t>
        </r>
        <r>
          <rPr>
            <sz val="9"/>
            <color indexed="81"/>
            <rFont val="Tahoma"/>
            <family val="2"/>
          </rPr>
          <t xml:space="preserve">
Descrição SINAPI:
TOMADA 2P+T 10A, 250V, CONJUNTO MONTADO PARA EMBUTIR 4" X 2" (PLACA + SUPORTE + MODULO)</t>
        </r>
      </text>
    </comment>
    <comment ref="D34" authorId="0">
      <text>
        <r>
          <rPr>
            <b/>
            <sz val="9"/>
            <color indexed="81"/>
            <rFont val="Tahoma"/>
            <family val="2"/>
          </rPr>
          <t>silvia.yamashita:</t>
        </r>
        <r>
          <rPr>
            <sz val="9"/>
            <color indexed="81"/>
            <rFont val="Tahoma"/>
            <family val="2"/>
          </rPr>
          <t xml:space="preserve">
Descrição SINAPI:
VALVULA DE DESCARGA EM METAL CROMADO PARA MICTORIO COM ACIONAMENTO POR PRESSAO E FECHAMENTO AUTOMATICO</t>
        </r>
      </text>
    </comment>
    <comment ref="D36" authorId="0">
      <text>
        <r>
          <rPr>
            <b/>
            <sz val="9"/>
            <color indexed="81"/>
            <rFont val="Tahoma"/>
            <family val="2"/>
          </rPr>
          <t>silvia.yamashita:</t>
        </r>
        <r>
          <rPr>
            <sz val="9"/>
            <color indexed="81"/>
            <rFont val="Tahoma"/>
            <family val="2"/>
          </rPr>
          <t xml:space="preserve">
Descrição SINAPI:
ASSENTO SANITARIO DE PLASTICO, TIPO CONVENCIONAL</t>
        </r>
      </text>
    </comment>
    <comment ref="D37" authorId="0">
      <text>
        <r>
          <rPr>
            <b/>
            <sz val="9"/>
            <color indexed="81"/>
            <rFont val="Tahoma"/>
            <family val="2"/>
          </rPr>
          <t>silvia.yamashita:</t>
        </r>
        <r>
          <rPr>
            <sz val="9"/>
            <color indexed="81"/>
            <rFont val="Tahoma"/>
            <family val="2"/>
          </rPr>
          <t xml:space="preserve">
Descrição SINAPI:
ENGATE / RABICHO FLEXIVEL INOX 1/2 " X 40 CM</t>
        </r>
      </text>
    </comment>
    <comment ref="D38" authorId="0">
      <text>
        <r>
          <rPr>
            <b/>
            <sz val="9"/>
            <color indexed="81"/>
            <rFont val="Tahoma"/>
            <family val="2"/>
          </rPr>
          <t>silvia.yamashita:</t>
        </r>
        <r>
          <rPr>
            <sz val="9"/>
            <color indexed="81"/>
            <rFont val="Tahoma"/>
            <family val="2"/>
          </rPr>
          <t xml:space="preserve">
Descrição SINAPI:
TINTA ACRILICA PREMIUM, COR BRANCO FOSCO</t>
        </r>
      </text>
    </comment>
    <comment ref="D39" authorId="0">
      <text>
        <r>
          <rPr>
            <b/>
            <sz val="9"/>
            <color indexed="81"/>
            <rFont val="Tahoma"/>
            <family val="2"/>
          </rPr>
          <t>silvia.yamashita:</t>
        </r>
        <r>
          <rPr>
            <sz val="9"/>
            <color indexed="81"/>
            <rFont val="Tahoma"/>
            <family val="2"/>
          </rPr>
          <t xml:space="preserve">
Descrição SINAPI:
TINTA ACRILICA PREMIUM, COR BRANCO FOSCO</t>
        </r>
      </text>
    </comment>
    <comment ref="D40" authorId="0">
      <text>
        <r>
          <rPr>
            <b/>
            <sz val="9"/>
            <color indexed="81"/>
            <rFont val="Tahoma"/>
            <family val="2"/>
          </rPr>
          <t>silvia.yamashita:</t>
        </r>
        <r>
          <rPr>
            <sz val="9"/>
            <color indexed="81"/>
            <rFont val="Tahoma"/>
            <family val="2"/>
          </rPr>
          <t xml:space="preserve">
Descrição SINAPI:
TINTA ESMALTE SINTETICO STANDARD BRILHANTE</t>
        </r>
      </text>
    </comment>
    <comment ref="D42" authorId="0">
      <text>
        <r>
          <rPr>
            <b/>
            <sz val="9"/>
            <color indexed="81"/>
            <rFont val="Tahoma"/>
            <family val="2"/>
          </rPr>
          <t>silvia.yamashita:</t>
        </r>
        <r>
          <rPr>
            <sz val="9"/>
            <color indexed="81"/>
            <rFont val="Tahoma"/>
            <family val="2"/>
          </rPr>
          <t xml:space="preserve">
Descrição SINAPI:
VERNIZ SINTETICO BRILHANTE PARA MADEIRA, COM FILTRO SOLAR, USO INTERNO E EXTERNO (BASE SOLVENTE)</t>
        </r>
      </text>
    </comment>
    <comment ref="D45" authorId="0">
      <text>
        <r>
          <rPr>
            <b/>
            <sz val="9"/>
            <color indexed="81"/>
            <rFont val="Tahoma"/>
            <family val="2"/>
          </rPr>
          <t>silvia.yamashita:</t>
        </r>
        <r>
          <rPr>
            <sz val="9"/>
            <color indexed="81"/>
            <rFont val="Tahoma"/>
            <family val="2"/>
          </rPr>
          <t xml:space="preserve">
Descrição SINAPI:
PLACA / CHAPA DE GESSO ACARTONADO, STANDARD (ST), COR BRANCA, E = 12,5 MM, 1200 X 1800 MM (L X C)</t>
        </r>
      </text>
    </comment>
    <comment ref="D46" authorId="0">
      <text>
        <r>
          <rPr>
            <b/>
            <sz val="9"/>
            <color indexed="81"/>
            <rFont val="Tahoma"/>
            <family val="2"/>
          </rPr>
          <t>silvia.yamashita:</t>
        </r>
        <r>
          <rPr>
            <sz val="9"/>
            <color indexed="81"/>
            <rFont val="Tahoma"/>
            <family val="2"/>
          </rPr>
          <t xml:space="preserve">
Descrição SINAPI:
PLACA DE FIBRA MINERAL PARA FORRO, DE 1250 X 625 MM, E = 15 MM, BORDA RETA, COM PINTURA ANTIMOFO (NAO INCLUI PERFIS)</t>
        </r>
      </text>
    </comment>
    <comment ref="D47" authorId="0">
      <text>
        <r>
          <rPr>
            <b/>
            <sz val="9"/>
            <color indexed="81"/>
            <rFont val="Tahoma"/>
            <family val="2"/>
          </rPr>
          <t>silvia.yamashita:</t>
        </r>
        <r>
          <rPr>
            <sz val="9"/>
            <color indexed="81"/>
            <rFont val="Tahoma"/>
            <family val="2"/>
          </rPr>
          <t xml:space="preserve">
Descrição SINAPI:
CARPETE DE NYLON EM PLACAS 50 X 50 CM PARA TRAFEGO COMERCIAL PESADO, E = 6,5 MM (INSTALADO)</t>
        </r>
      </text>
    </comment>
    <comment ref="D48" authorId="0">
      <text>
        <r>
          <rPr>
            <b/>
            <sz val="9"/>
            <color indexed="81"/>
            <rFont val="Tahoma"/>
            <family val="2"/>
          </rPr>
          <t>silvia.yamashita:</t>
        </r>
        <r>
          <rPr>
            <sz val="9"/>
            <color indexed="81"/>
            <rFont val="Tahoma"/>
            <family val="2"/>
          </rPr>
          <t xml:space="preserve">
Descrição SINAPI:
CARPETE DE NYLON EM PLACAS 50 X 50 CM PARA TRAFEGO COMERCIAL PESADO, E = 6,5 MM (INSTALADO)</t>
        </r>
      </text>
    </comment>
    <comment ref="D51" authorId="0">
      <text>
        <r>
          <rPr>
            <b/>
            <sz val="9"/>
            <color indexed="81"/>
            <rFont val="Tahoma"/>
            <family val="2"/>
          </rPr>
          <t>silvia.yamashita:</t>
        </r>
        <r>
          <rPr>
            <sz val="9"/>
            <color indexed="81"/>
            <rFont val="Tahoma"/>
            <family val="2"/>
          </rPr>
          <t xml:space="preserve">
Descrição SINAPI:
ADESIVO ACRILICO/COLA DE CONTATO</t>
        </r>
      </text>
    </comment>
    <comment ref="D67" authorId="0">
      <text>
        <r>
          <rPr>
            <b/>
            <sz val="9"/>
            <color indexed="81"/>
            <rFont val="Tahoma"/>
            <family val="2"/>
          </rPr>
          <t>silvia.yamashita:</t>
        </r>
        <r>
          <rPr>
            <sz val="9"/>
            <color indexed="81"/>
            <rFont val="Tahoma"/>
            <family val="2"/>
          </rPr>
          <t xml:space="preserve">
Descrição SINAPI:
CABO TELEFONICO CCI 50, 1 PAR, USO INTERNO, SEM BLINDAGEM</t>
        </r>
      </text>
    </comment>
    <comment ref="D74" authorId="0">
      <text>
        <r>
          <rPr>
            <b/>
            <sz val="9"/>
            <color indexed="81"/>
            <rFont val="Tahoma"/>
            <family val="2"/>
          </rPr>
          <t>silvia.yamashita:</t>
        </r>
        <r>
          <rPr>
            <sz val="9"/>
            <color indexed="81"/>
            <rFont val="Tahoma"/>
            <family val="2"/>
          </rPr>
          <t xml:space="preserve">
Descrição SINAPI:
ELETRODUTO PVC FLEXIVEL CORRUGADO, COR AMARELA, DE 25 MM</t>
        </r>
      </text>
    </comment>
    <comment ref="D75" authorId="0">
      <text>
        <r>
          <rPr>
            <b/>
            <sz val="9"/>
            <color indexed="81"/>
            <rFont val="Tahoma"/>
            <family val="2"/>
          </rPr>
          <t>silvia.yamashita:</t>
        </r>
        <r>
          <rPr>
            <sz val="9"/>
            <color indexed="81"/>
            <rFont val="Tahoma"/>
            <family val="2"/>
          </rPr>
          <t xml:space="preserve">
Descrição SINAPI:
CONECTOR MACHO RJ - 45, CATEGORIA 6</t>
        </r>
      </text>
    </comment>
    <comment ref="D76" authorId="0">
      <text>
        <r>
          <rPr>
            <b/>
            <sz val="9"/>
            <color indexed="81"/>
            <rFont val="Tahoma"/>
            <family val="2"/>
          </rPr>
          <t>silvia.yamashita:</t>
        </r>
        <r>
          <rPr>
            <sz val="9"/>
            <color indexed="81"/>
            <rFont val="Tahoma"/>
            <family val="2"/>
          </rPr>
          <t xml:space="preserve">
Descrição SINAPI:
ESPELHO / PLACA DE 1 POSTO 4" X 2", PARA INSTALACAO DE TOMADAS E INTERRUPTORES</t>
        </r>
      </text>
    </comment>
    <comment ref="D77" authorId="0">
      <text>
        <r>
          <rPr>
            <b/>
            <sz val="9"/>
            <color indexed="81"/>
            <rFont val="Tahoma"/>
            <family val="2"/>
          </rPr>
          <t>silvia.yamashita:</t>
        </r>
        <r>
          <rPr>
            <sz val="9"/>
            <color indexed="81"/>
            <rFont val="Tahoma"/>
            <family val="2"/>
          </rPr>
          <t xml:space="preserve">
Descrição SINAPI:
ESPELHO / PLACA DE 2 POSTOS 4" X 2", PARA INSTALACAO DE TOMADAS E INTERRUPTORES</t>
        </r>
      </text>
    </comment>
    <comment ref="D79" authorId="0">
      <text>
        <r>
          <rPr>
            <b/>
            <sz val="9"/>
            <color indexed="81"/>
            <rFont val="Tahoma"/>
            <family val="2"/>
          </rPr>
          <t>silvia.yamashita:</t>
        </r>
        <r>
          <rPr>
            <sz val="9"/>
            <color indexed="81"/>
            <rFont val="Tahoma"/>
            <family val="2"/>
          </rPr>
          <t xml:space="preserve">
Descrição SINAPI:
INTERRUPTOR BIPOLAR SIMPLES 10 A, 250 V (APENAS MODULO)</t>
        </r>
      </text>
    </comment>
    <comment ref="D83" authorId="0">
      <text>
        <r>
          <rPr>
            <b/>
            <sz val="9"/>
            <color indexed="81"/>
            <rFont val="Tahoma"/>
            <family val="2"/>
          </rPr>
          <t>silvia.yamashita:</t>
        </r>
        <r>
          <rPr>
            <sz val="9"/>
            <color indexed="81"/>
            <rFont val="Tahoma"/>
            <family val="2"/>
          </rPr>
          <t xml:space="preserve">
Descrição SINAPI:
SOQUETE DE PORCELANA BASE E27, FIXO DE TETO, PARA LAMPADAS</t>
        </r>
      </text>
    </comment>
    <comment ref="D84" authorId="0">
      <text>
        <r>
          <rPr>
            <b/>
            <sz val="9"/>
            <color indexed="81"/>
            <rFont val="Tahoma"/>
            <family val="2"/>
          </rPr>
          <t>silvia.yamashita:</t>
        </r>
        <r>
          <rPr>
            <sz val="9"/>
            <color indexed="81"/>
            <rFont val="Tahoma"/>
            <family val="2"/>
          </rPr>
          <t xml:space="preserve">
Descrição SINAPI:
TOMADA 2P+T 10A, 250V  (APENAS MODULO)</t>
        </r>
      </text>
    </comment>
    <comment ref="D85" authorId="0">
      <text>
        <r>
          <rPr>
            <b/>
            <sz val="9"/>
            <color indexed="81"/>
            <rFont val="Tahoma"/>
            <family val="2"/>
          </rPr>
          <t>silvia.yamashita:</t>
        </r>
        <r>
          <rPr>
            <sz val="9"/>
            <color indexed="81"/>
            <rFont val="Tahoma"/>
            <family val="2"/>
          </rPr>
          <t xml:space="preserve">
Descrição SINAPI:
TOMADA 2P+T 10A, 250V, CONJUNTO MONTADO PARA SOBREPOR 4" X 2" (CAIXA + MODULO)</t>
        </r>
      </text>
    </comment>
    <comment ref="D86" authorId="0">
      <text>
        <r>
          <rPr>
            <b/>
            <sz val="9"/>
            <color indexed="81"/>
            <rFont val="Tahoma"/>
            <family val="2"/>
          </rPr>
          <t>silvia.yamashita:</t>
        </r>
        <r>
          <rPr>
            <sz val="9"/>
            <color indexed="81"/>
            <rFont val="Tahoma"/>
            <family val="2"/>
          </rPr>
          <t xml:space="preserve">
Descrição SINAPI:
TOMADA 2P+T 20A 250V, CONJUNTO MONTADO PARA EMBUTIR 4" X 2" (PLACA + SUPORTE + MODULO)</t>
        </r>
      </text>
    </comment>
  </commentList>
</comments>
</file>

<file path=xl/sharedStrings.xml><?xml version="1.0" encoding="utf-8"?>
<sst xmlns="http://schemas.openxmlformats.org/spreadsheetml/2006/main" count="2213" uniqueCount="884">
  <si>
    <t>DADOS REFERENTES À CONTRATAÇÃO E DISCRIMINAÇÃO DOS SERVIÇOS</t>
  </si>
  <si>
    <t>A</t>
  </si>
  <si>
    <t>Data de Apresentação da Proposta (Dia/Mês/Ano):</t>
  </si>
  <si>
    <t>B</t>
  </si>
  <si>
    <t>Município/UF:</t>
  </si>
  <si>
    <t>C</t>
  </si>
  <si>
    <t>D</t>
  </si>
  <si>
    <t>Classificação Brasileira de Ocupações (CBO)</t>
  </si>
  <si>
    <t>E</t>
  </si>
  <si>
    <t>Categoria Profissional (vinculada à execução contratual)</t>
  </si>
  <si>
    <t>F</t>
  </si>
  <si>
    <t>G</t>
  </si>
  <si>
    <t>H</t>
  </si>
  <si>
    <t>Mês e Ano da CCT/Sentença Normativa/Dissídio:</t>
  </si>
  <si>
    <t>I</t>
  </si>
  <si>
    <t>Data Base da Categoria</t>
  </si>
  <si>
    <t>J</t>
  </si>
  <si>
    <t>Número de Meses de Execução Contratual:</t>
  </si>
  <si>
    <t>MÓDULO 1 - COMPOSIÇÃO DA REMUNERAÇÃO</t>
  </si>
  <si>
    <t>Percentual</t>
  </si>
  <si>
    <t>VALOR</t>
  </si>
  <si>
    <t>Salário Base</t>
  </si>
  <si>
    <t>Outros (Especificar)</t>
  </si>
  <si>
    <t>TOTAL - MÓDULO 1 - REMUNERAÇÃO</t>
  </si>
  <si>
    <t>MÓDULO 2 - ENCARGOS E BENEFÍCIOS ANUAIS, MENSAIS E DIÁRIOS</t>
  </si>
  <si>
    <t>Alíquota</t>
  </si>
  <si>
    <t>Adicional de Férias</t>
  </si>
  <si>
    <t>TOTAL Submódulo 2.1</t>
  </si>
  <si>
    <t>Submódulo 2.2 - Encargos Previdenciários (GPS), Fundo de Garantia (FGTS) e Outas Contribuições</t>
  </si>
  <si>
    <t>TOTAL Submódulo 2.2</t>
  </si>
  <si>
    <t>Submódulo 2.3 - Benefícios Mensais e Diários</t>
  </si>
  <si>
    <t>Auxílio Alimentação</t>
  </si>
  <si>
    <t>Dias/Mês</t>
  </si>
  <si>
    <t>Valor Descontado do Trabalhador</t>
  </si>
  <si>
    <t>Nº Bilhetes</t>
  </si>
  <si>
    <t>Valor da Tarifa</t>
  </si>
  <si>
    <t>TOTAL Submódulo 2.3</t>
  </si>
  <si>
    <t>TOTAL - MÓDULO 2 - ENCARGOS E BENEFÍCIOS ANUAIS, MENSAIS E DIÁRIOS</t>
  </si>
  <si>
    <t>MÓDULO 3 - PROVISÃO PARA RESCISÃO</t>
  </si>
  <si>
    <t>Aviso Prévio Indenizado</t>
  </si>
  <si>
    <t>Incidência do FGTS sobre o Aviso Prévio Indenizado</t>
  </si>
  <si>
    <t>Aviso Prévio Trabalhado</t>
  </si>
  <si>
    <t>Incidência dos encargos do submódulo 2.2 sobre o Aviso Prévio Trabalhado</t>
  </si>
  <si>
    <t>TOTAL - MÓDULO 3 - PROVISÃO PARA RESCISÃO</t>
  </si>
  <si>
    <t>MÓDULO 4 - CUSTO DE REPOSIÇÃO DO PROFISSIONAL AUSENTE</t>
  </si>
  <si>
    <t>Percentual Anual de Incidência</t>
  </si>
  <si>
    <t>Percentual de Incidência Anual de Afastamento Maternidade</t>
  </si>
  <si>
    <t>Subtotal do Submódulo 4.1</t>
  </si>
  <si>
    <t>Incidência do Submódulo 2.2 sobre o Submódulo 4.1</t>
  </si>
  <si>
    <t>TOTAL Submódulo 4.1</t>
  </si>
  <si>
    <t>TOTAL Submódulo 4.2</t>
  </si>
  <si>
    <t>TOTAL - MÓDULO 4 - CUSTO DE REPOSIÇÃO DO PROFISSIONAL AUSENTE</t>
  </si>
  <si>
    <t>MÓDULO 5 - INSUMOS DIVERSOS</t>
  </si>
  <si>
    <t>TOTAL - MÓDULO 5 - INSUMOS DIVERSOS</t>
  </si>
  <si>
    <t>MÓDULO 6 - CUSTOS INDIRETOS, TRIBUTOS E LUCRO</t>
  </si>
  <si>
    <t>Base de Cálculo</t>
  </si>
  <si>
    <t>Custos Indiretos</t>
  </si>
  <si>
    <t>Lucro</t>
  </si>
  <si>
    <t>Tributos</t>
  </si>
  <si>
    <t>Tributos Federais</t>
  </si>
  <si>
    <t>PIS</t>
  </si>
  <si>
    <t>COFINS</t>
  </si>
  <si>
    <t>OUTROS</t>
  </si>
  <si>
    <t>Tributos Municipais</t>
  </si>
  <si>
    <t>ISSQN</t>
  </si>
  <si>
    <t>Outros Tributos</t>
  </si>
  <si>
    <t>Total das alíquotas dos tributos</t>
  </si>
  <si>
    <t>TOTAL - MÓDULO 6 - CUSTOS INDIRETOS, TRIBUTOS E LUCRO</t>
  </si>
  <si>
    <t>Módulo 1 - Composição da Remuneração</t>
  </si>
  <si>
    <t>Módulo 2 - Encargos e Benefícios Anuais, Mensais e Diários</t>
  </si>
  <si>
    <t>Módulo 3 - Provisão para Rescisão</t>
  </si>
  <si>
    <t>Módulo 4 - Custo para Reposição do Profissional Ausente</t>
  </si>
  <si>
    <t>Módulo 5 - Insumos Diversos</t>
  </si>
  <si>
    <t>Módulo 6 - Custos Indiretos, Tributos e Lucros</t>
  </si>
  <si>
    <t>VALOR TOTAL POR EMPREGADO</t>
  </si>
  <si>
    <t>Objeto:</t>
  </si>
  <si>
    <t>K</t>
  </si>
  <si>
    <t>Unidade de Medida</t>
  </si>
  <si>
    <t>L</t>
  </si>
  <si>
    <t xml:space="preserve">Submódulo 2.1 </t>
  </si>
  <si>
    <t>Base de Cálculo: Módulo 1 + Submódulo 2.1</t>
  </si>
  <si>
    <t>Auxílio Refeição</t>
  </si>
  <si>
    <t xml:space="preserve">Valor do Benefício </t>
  </si>
  <si>
    <t>Outros (preencher)</t>
  </si>
  <si>
    <t xml:space="preserve">Nome do Sindicato / Registro da CCT no MTE </t>
  </si>
  <si>
    <t>Submódulo 4.1 - Substituto nas Ausências Legais</t>
  </si>
  <si>
    <t>Substituto na Cobertura de Férias</t>
  </si>
  <si>
    <t>Substituto na Cobertura de Ausências Legais</t>
  </si>
  <si>
    <t>Número de ausências por ano (dias)</t>
  </si>
  <si>
    <t>Substituto na Cobertura de Licença Paternidade</t>
  </si>
  <si>
    <t>Substituto na Cobertura de Ausências por Acidente de Trabalho</t>
  </si>
  <si>
    <t>Substituto na Cobertura de Afastamento Maternidade</t>
  </si>
  <si>
    <t>Submódulo 4.2 - Substituto na Intrajornada</t>
  </si>
  <si>
    <t>Substituto na cobertura de Intervalo para repouso ou alimentação</t>
  </si>
  <si>
    <t>CUSTOS DIRETOS (SOMATÓRIA DOS MÓDULOS 1+2+3+4+5)</t>
  </si>
  <si>
    <t xml:space="preserve">Número do  Processo: </t>
  </si>
  <si>
    <t xml:space="preserve">Número da Licitação: </t>
  </si>
  <si>
    <t>Pregão Eletrônico nº XX/20XX</t>
  </si>
  <si>
    <t>Adicional de Periculosidade</t>
  </si>
  <si>
    <t>Adicional de Insalubridade</t>
  </si>
  <si>
    <t xml:space="preserve">percentual </t>
  </si>
  <si>
    <t>Adicional Noturno</t>
  </si>
  <si>
    <t xml:space="preserve">E </t>
  </si>
  <si>
    <t>Adicional de Hora Noturna Reduzida</t>
  </si>
  <si>
    <t>Substituto na cobertura de outras ausências (especificar)</t>
  </si>
  <si>
    <t>QUADRO-RESUMO DO CUSTO POR EMPREGADO</t>
  </si>
  <si>
    <t xml:space="preserve">Multa do FGTS e contribuição social sobre o Aviso Prévio Indenizado </t>
  </si>
  <si>
    <t>Multa do FGTS e contribuição social sobre o Aviso Prévio Trabalhado</t>
  </si>
  <si>
    <t>* Atenção: Os percentuais de B e C vinculam-se à opção de pagamento pelo fato gerador. Vide Caderno de Logística do Pagamento por Fato Gerador https://www.comprasgovernamentais.gov.br/images/conteudo/ArquivosCGNOR/fato_gerador.pdf</t>
  </si>
  <si>
    <t xml:space="preserve">Aviso Prévio Indenizado: Percentual cf. Acórdão do TCU nº 1904/2017 - Plenário: (5,55%) x (1/12) = 0,46% </t>
  </si>
  <si>
    <t>Incidência do FGTS sobre o Aviso Prévio Indenizado: Súmula nº 305 do TST + Acórdão do TCU nº 2217/2010 - Plenário: (8%) x (0,46%) = 0,03%</t>
  </si>
  <si>
    <t>Aviso Prévio Trabalhado: Percentual cf. Acórdãos do TCU nº 3006/2010 e 1094/2007 - Plenário</t>
  </si>
  <si>
    <t>Substituto na Cobertura de Ausências Legais: 5,96 (número de ausências médias/ano, dado do IBGE) / 365 (dias do ano) = 1,63%</t>
  </si>
  <si>
    <t>Substituto na Cobertura de Licença Paternidade: Percentual estatístico do IBGE: 1,5% de trabalhadores são pais durante o ano</t>
  </si>
  <si>
    <t>Substituto na Cobertura de Ausências por Acidente de Trabalho: Base de Cálculo:  [(15/30)/12] x 0,08 x 100 = 0,33% , OBS: 15 = número de dias em que o empregado repousa e contratada remunera, 30 = número de dias no mês, 12 = número de meses no ano, 8% = média dos trabalhadores que sofrem, acidente/ano, de acordo com estatísticas do IBGE ,100% = salário integral</t>
  </si>
  <si>
    <t>Substituto na Cobertura de Afastamento Maternidade: [0,02 x (4/12)/12 x 100] = 0,055%, OBS: 0,02 = índice de ocorrência. Dado utilizado do IBGE; 4/12 = 4 meses de licença maternidade por ano; 12 = meses do ano; 100 = porcentagem</t>
  </si>
  <si>
    <t>PIS: 0,65% - Lucro Presumido</t>
  </si>
  <si>
    <t>Cofins: 3,0% - Lucro Presumido</t>
  </si>
  <si>
    <t>RAT (%)</t>
  </si>
  <si>
    <t>FAP (%)</t>
  </si>
  <si>
    <t>Tipo de Serviço (CATSER)</t>
  </si>
  <si>
    <t>Submódulo 2.1 - 13º (décimo terceiro) Salário, Férias e Adicional de Férias</t>
  </si>
  <si>
    <t>13º (décimo terceiro) Salário</t>
  </si>
  <si>
    <t>Qtde. estimada de horas/mês</t>
  </si>
  <si>
    <t xml:space="preserve">Valor da hora com adicional </t>
  </si>
  <si>
    <t>Porcentual (50% ou 100%)</t>
  </si>
  <si>
    <t>horas mensais</t>
  </si>
  <si>
    <t>Carga horária mensal (quantidade de horas)</t>
  </si>
  <si>
    <t>Auxílio Transporte</t>
  </si>
  <si>
    <t>Auxílio Creche</t>
  </si>
  <si>
    <t>Seguro de Vida</t>
  </si>
  <si>
    <t xml:space="preserve">Valor Descontado do Trabalhador </t>
  </si>
  <si>
    <t>A autorização para o desconto deve estar prevista na CCT + A licitante deverá comprovar inscrição no PAT e deverá ser realizada até o limite permitido no Art. 458, § 1º da CLT (20% sobre o valor diário do benefício)</t>
  </si>
  <si>
    <t>Salário Normativo</t>
  </si>
  <si>
    <t>Valor Unitário</t>
  </si>
  <si>
    <t>Porcentual anual de incidência</t>
  </si>
  <si>
    <t>Auxílio Creche: Percentual Anual de Incidência - Memória de Cálculo: Quantidade de crianças matriculadas em creches no Estado de SP / divido pela quantidade de mulheres entre 10 e 55 anos vivendo no Estado de SP. A definição da fórmula foi extraída do Caderno de Logística para Serviços de Limpeza, Asseio e Conservação do MPDG</t>
  </si>
  <si>
    <t xml:space="preserve">Valor Anual </t>
  </si>
  <si>
    <t>Valor Mensal</t>
  </si>
  <si>
    <t>Valor Descontado do Trabalhador (6%)</t>
  </si>
  <si>
    <t xml:space="preserve">Adicional de hora extra </t>
  </si>
  <si>
    <t xml:space="preserve">Férias </t>
  </si>
  <si>
    <t>M</t>
  </si>
  <si>
    <t xml:space="preserve">Salário Mínimo Nacional </t>
  </si>
  <si>
    <t>INSS (Lei nº 8.212/1991, art. 22, I)</t>
  </si>
  <si>
    <t>Salário Educação (Decreto nº 87.043/1982, art. 3, I)</t>
  </si>
  <si>
    <t>Seguro Acidente de Trabalho = RAT x FAP (Decreto nº 3.048/1999)</t>
  </si>
  <si>
    <t>SESC ou SESI (Lei nº 8.036/1990, art. 3)</t>
  </si>
  <si>
    <t>SENAI ou SENAC (Decreto nº 2.318/1986)</t>
  </si>
  <si>
    <t>SEBRAE (Lei nº 8.029/1990 e Lei nº 8.154/1190)</t>
  </si>
  <si>
    <t>INCRA (Lei nº 7.787/1989 e DL nº 1.146/1970)</t>
  </si>
  <si>
    <t>FGTS (CF, art. 7º, III e Lei nº 8.030/1990, art. 15)</t>
  </si>
  <si>
    <t>ATENÇÃO! O VALOR MÁXIMO DE 3% PARA O RAT E DE 2% PARA O FAP APARECE PARA FINS DE PROVISIONAMENTO! DEVERÁ A LICITANTE AJUSTÁ-LO AOS ÍNCIDICES APLICÁVEIS AO GRAU DE RISCO DA ATIVIDADE E AO SEU FATOR ACIDENTÁRIO DE DE PREVENÇÃO!</t>
  </si>
  <si>
    <t>Percentual Calculado sobre o salário mínimo vigente</t>
  </si>
  <si>
    <r>
      <t xml:space="preserve">Adicional de Hora Extra: A ser paga </t>
    </r>
    <r>
      <rPr>
        <b/>
        <u/>
        <sz val="10"/>
        <rFont val="Calibri Light"/>
        <family val="2"/>
      </rPr>
      <t>apenas</t>
    </r>
    <r>
      <rPr>
        <b/>
        <sz val="10"/>
        <rFont val="Calibri Light"/>
        <family val="2"/>
      </rPr>
      <t xml:space="preserve"> na ocorrência do fato gerador (isto é, a eventual realização de horas extraordinárias) - Nos meses em que não houver ocorreência de horas extras, não deverá ser considerado para fins de cálculo algum. </t>
    </r>
  </si>
  <si>
    <t>ATENÇÃO: APAGAR BENEFÍCIOS QUE NÃO FOREM PREVISTOS NA CCT EM QUESTÃO. PARA FINS DE AFERIÇÃO, REFERENCIAR A CLÁUSULA DA CCT, AO LADO DA LINHA DE CADA BENEFÍCIO!</t>
  </si>
  <si>
    <r>
      <t xml:space="preserve">ANEXO </t>
    </r>
    <r>
      <rPr>
        <b/>
        <sz val="10"/>
        <color indexed="10"/>
        <rFont val="Calibri Light"/>
        <family val="2"/>
      </rPr>
      <t>III</t>
    </r>
    <r>
      <rPr>
        <b/>
        <sz val="10"/>
        <color indexed="8"/>
        <rFont val="Calibri Light"/>
        <family val="2"/>
      </rPr>
      <t xml:space="preserve"> - PLANILHA DE CUSTOS E FORMAÇÃO DE PREÇOS</t>
    </r>
  </si>
  <si>
    <t>Prestação de Serviços de Limpeza e Conservação</t>
  </si>
  <si>
    <t>PA nº 3214/2019</t>
  </si>
  <si>
    <t>Localidade</t>
  </si>
  <si>
    <t>M2</t>
  </si>
  <si>
    <t>5143-20</t>
  </si>
  <si>
    <r>
      <t>Salário Normativo da Categoria Profissional</t>
    </r>
    <r>
      <rPr>
        <sz val="10"/>
        <rFont val="Calibri Light"/>
        <family val="2"/>
      </rPr>
      <t xml:space="preserve"> </t>
    </r>
    <r>
      <rPr>
        <sz val="10"/>
        <rFont val="Calibri Light"/>
        <family val="2"/>
      </rPr>
      <t>(44 horas semanais/220 horas semanais)</t>
    </r>
  </si>
  <si>
    <t>01 DE JANEIRO</t>
  </si>
  <si>
    <t>COMUNICADO CONJUNTO DE 17/12/2019</t>
  </si>
  <si>
    <t>Benefício Médico Ambulatorial e Odontológico</t>
  </si>
  <si>
    <t>Valor do Benefício</t>
  </si>
  <si>
    <t>Benefício Social Familiar</t>
  </si>
  <si>
    <t>Benefício Natalidade</t>
  </si>
  <si>
    <t>Crachá de identificação</t>
  </si>
  <si>
    <t>N/A</t>
  </si>
  <si>
    <t>PRODUTIVIDADE</t>
  </si>
  <si>
    <t>ÁREAS INTERNAS</t>
  </si>
  <si>
    <t>Auxiliar de Limpeza</t>
  </si>
  <si>
    <t>TOTAL (R$/M2)</t>
  </si>
  <si>
    <t>ÁREAS EXTERNAS</t>
  </si>
  <si>
    <t>Área (m2)                  (1)</t>
  </si>
  <si>
    <t>Áreas Internas</t>
  </si>
  <si>
    <t>Banheiros</t>
  </si>
  <si>
    <t>Áreas Externas</t>
  </si>
  <si>
    <t>Pisos pavimentados adjacentes/contíguos às edificações</t>
  </si>
  <si>
    <t>Varrição de passeios e arruamentos</t>
  </si>
  <si>
    <t>Pátios e áreas verdes com média/baixa frequência</t>
  </si>
  <si>
    <t>Custos Indiretos e Lucro: Percentil Máximo SEGES Caderno Técnico Limpeza - São Paulo 2019.</t>
  </si>
  <si>
    <t xml:space="preserve">ISSQN: 5,0% - Máximo permitido (ANEXO 1 IN SF/SUREM Nº 8/2011) </t>
  </si>
  <si>
    <t>Produtividade IN 05/2017 (M2)</t>
  </si>
  <si>
    <t>PRODUTIVIDADE (1/M2)                               (1)</t>
  </si>
  <si>
    <t>SUBTOTAL (R$/M2)                            (3)                                (1)X(2)</t>
  </si>
  <si>
    <t>Uniformes</t>
  </si>
  <si>
    <t>Material de Limpeza e Equipamentos</t>
  </si>
  <si>
    <t>% da soma dos itens de custo para o cargo:</t>
  </si>
  <si>
    <t>LOCALIDADE</t>
  </si>
  <si>
    <t>SUBTOTAL MENSAL</t>
  </si>
  <si>
    <t>Subtotal das áreas da Unidade</t>
  </si>
  <si>
    <t>Preço Total Mensal para a Unidade</t>
  </si>
  <si>
    <t>QUADRO RESUMO</t>
  </si>
  <si>
    <t>Valor Mensal do Contrato</t>
  </si>
  <si>
    <t>Valor Total do Contrato</t>
  </si>
  <si>
    <t>meses</t>
  </si>
  <si>
    <t>MODELO DE PROPOSTA COMERCIAL</t>
  </si>
  <si>
    <t>CÁLCULO DA PRODUTIVIDADE  - IN 05/2017</t>
  </si>
  <si>
    <t>UNIDADE DE MEDIDA</t>
  </si>
  <si>
    <t>QUANTIDADE</t>
  </si>
  <si>
    <r>
      <t>m</t>
    </r>
    <r>
      <rPr>
        <vertAlign val="superscript"/>
        <sz val="11"/>
        <color indexed="8"/>
        <rFont val="Calibri"/>
        <family val="2"/>
      </rPr>
      <t>2</t>
    </r>
  </si>
  <si>
    <t>PREÇO UNITÁRIO</t>
  </si>
  <si>
    <t>FREQUÊNCIA</t>
  </si>
  <si>
    <t>Mensal</t>
  </si>
  <si>
    <t>TIPO DE ÁREA / DESCRIÇÃO DOS SERVIÇOS</t>
  </si>
  <si>
    <t>Tipo de Área / Descrição dos Serviços</t>
  </si>
  <si>
    <t>MÃO DE OBRA</t>
  </si>
  <si>
    <t>METRAGEM</t>
  </si>
  <si>
    <t>PREÇO HOMEM-MÊS (R$)                                   (2)</t>
  </si>
  <si>
    <t>Pisos acarpetados/vinílico</t>
  </si>
  <si>
    <t>COREN-SP SUBSEÇÃO ARAÇATUBA</t>
  </si>
  <si>
    <t>Araçatuba / SP</t>
  </si>
  <si>
    <t>SIEMACO-SP / SP005078/2019</t>
  </si>
  <si>
    <t>CLÁUSULA DÉCIMA SEXTA - SP005078/2019</t>
  </si>
  <si>
    <t>CLÁUSULA DÉCIMA SÉTIMA - SP005078/2019</t>
  </si>
  <si>
    <t>CLÁUSULA DÉCIMA OITAVA - SP005078/2019</t>
  </si>
  <si>
    <t>CLÁUSULA DÉCIMA NONA - SP005078/2019</t>
  </si>
  <si>
    <t>Serviços de Limpeza e Conservação - 25194</t>
  </si>
  <si>
    <t>5143-05</t>
  </si>
  <si>
    <t>Limpador de Vidros - Diurno</t>
  </si>
  <si>
    <t>220 horas mensais</t>
  </si>
  <si>
    <t>Esquadrias e Fachadas</t>
  </si>
  <si>
    <t>Esquadria - face interna (sem exposição a situação de risco)</t>
  </si>
  <si>
    <t>ESQUADRIAS E FACHADAS</t>
  </si>
  <si>
    <t>FREQUÊNCIA NO MÊS (HORAS)                              (2)</t>
  </si>
  <si>
    <t>JORNADA DE TRABALHO NO SEMESTRE (HORAS)                                      (3)</t>
  </si>
  <si>
    <t>(4)               (1)X(2)X(3)</t>
  </si>
  <si>
    <t>PREÇO HOMEM-MÊS (R$)                            (2)</t>
  </si>
  <si>
    <t>SUBTOTAL (R$/M2)            (6)                                (4)X(5)</t>
  </si>
  <si>
    <t>Limpador de Vidros</t>
  </si>
  <si>
    <t>Quadro Complementar - Jornada de trabalho no quadrimestre:</t>
  </si>
  <si>
    <t>Número de dias de trabalho por ano:</t>
  </si>
  <si>
    <t>Número de meses no ano:</t>
  </si>
  <si>
    <t>Número de dias por mês:</t>
  </si>
  <si>
    <t>Número de dias na semana:</t>
  </si>
  <si>
    <t>Número de semanas no mês:</t>
  </si>
  <si>
    <t>Número de horas semanais - jornada:</t>
  </si>
  <si>
    <t>44 h/s</t>
  </si>
  <si>
    <t>Número de horas no mês:</t>
  </si>
  <si>
    <t>Número de horas no quadrimestre:</t>
  </si>
  <si>
    <t>ESQUADRIAS</t>
  </si>
  <si>
    <t>Multa do FGTS e Contribuição Socual sobre o Aviso Prévio Indenizado - Memória de Cálculo: [0,08*(0,40)*0,9]*(1+0,0833+0,0833+0,0278)=3,44%, sendo que: (0,08) = Alíquota do FGTS (8%); (0,40) = Valor da Multa do FGTS indenizado (40%); (0,90) = 90% dos funcionários remanescentes (LC nº110/2001. Estudos CNJ – Resolução nº 98/2009); 1= remuneração integral; (0,0833) = % do 13º salário; (0,0833) = % de férias (pagamento pelo fato gerador); (0,0278) = % adicional de férias (pagamento pelo fato gerador)</t>
  </si>
  <si>
    <t>Multa do FGTS e contribuição social sobre o Aviso Prévio Trabalhado: [0,08 x (0,4)] x [% Incidência dos Encargos do Submódulo 2.2] = 0,02 %, OBS: (0,08) = Alíquota do FGTS, (0,40) = Valor da Multa do FGTS trabalhado, (% Incidência dos Encargos do Submódulo 2.2) = % do item E</t>
  </si>
  <si>
    <t>Servente de Limpeza Líder</t>
  </si>
  <si>
    <t>Servente de Limpeza Líder - Diurno</t>
  </si>
  <si>
    <t>Semestral</t>
  </si>
  <si>
    <t>* Atenção: Os percentuais do submódulo 2.1 vinculam-se à opção de pagamento pelo fato gerador. Vide Caderno de Logística do Pagamento por Fato Gerador https://www.comprasgovernamentais.gov.br/images/conteudo/ArquivosCGNOR/fato_gerador.pdf</t>
  </si>
  <si>
    <t>Submódulo 3.1 - Aviso Prévio Indenizado</t>
  </si>
  <si>
    <t>Submódulo 2.1 - 13º Salário, Férias e Adicional de Férias</t>
  </si>
  <si>
    <t>Provisionamento para 12 meses (vigência contratual)</t>
  </si>
  <si>
    <t>Base de cálculo do Aviso Prévio Indenizado</t>
  </si>
  <si>
    <t>Percentual de Incidência</t>
  </si>
  <si>
    <t>Valor</t>
  </si>
  <si>
    <t>Valor do Aviso Prévio Indenizado</t>
  </si>
  <si>
    <t>Submódulo 3.2- Aviso Prévio Trabalhado</t>
  </si>
  <si>
    <t>Base de cálculo do Aviso Prévio Trabalhado</t>
  </si>
  <si>
    <t>Valor do Aviso Prévio Trabalhado</t>
  </si>
  <si>
    <t>ATENÇÃO LICITANTE! O VALOR MÁXIMO ACEITO PARA O SAT (SEGURO ACIDENTE DE TRABALHO) É 3%, SENDO QUE, ESPECIFICAMENTE, PARA O FAP O FATOR MÁXIMO ACEITO É DE 1,0. ESSES LIMITES SERÃO OBSERVADOS NO RECEBIMENTO DAS PROPOSTAS.</t>
  </si>
  <si>
    <t>Base de Cálculo: Módulo 1 + Módulo 2 + Módulo 3</t>
  </si>
  <si>
    <t>Unidade</t>
  </si>
  <si>
    <t>Item</t>
  </si>
  <si>
    <t>unidade</t>
  </si>
  <si>
    <t>Par</t>
  </si>
  <si>
    <t>EQUIPAMENTOS</t>
  </si>
  <si>
    <t>pacote</t>
  </si>
  <si>
    <t>COREN-SP SEDE</t>
  </si>
  <si>
    <t>Prestação de serviços continuados de manutenção preventiva, preditiva e corretiva predial.</t>
  </si>
  <si>
    <t>São Paulo / SP</t>
  </si>
  <si>
    <t>Manutenção e reforma predial - 1627</t>
  </si>
  <si>
    <t>9511-05</t>
  </si>
  <si>
    <t>Eletricista Predial - 44 horas semanais - Diurno</t>
  </si>
  <si>
    <t>Descrição EPI</t>
  </si>
  <si>
    <t>Código CATMAT</t>
  </si>
  <si>
    <t>Código SINAPI</t>
  </si>
  <si>
    <t>Quantidade Estimada</t>
  </si>
  <si>
    <t>Blusa tipo suéter em lã ou similar</t>
  </si>
  <si>
    <t>Camiseta manga curta, malha fina</t>
  </si>
  <si>
    <t>Calça de brim 100% algodão ou similar, cintura 1/2 cós com passador, 1/2 elástico, 2 bolsos frontais e 2 bolsos traseiros</t>
  </si>
  <si>
    <t>Jaleco de brim 100% algodão ou similar, com bolso sobreposto na lateral esquerda ou direita</t>
  </si>
  <si>
    <t>Jaqueta em nylon ou similar, forrado, com bolso na parte superior embutido ou na parte interna</t>
  </si>
  <si>
    <t>Meias de algodão</t>
  </si>
  <si>
    <t xml:space="preserve">Vida útil (meses) </t>
  </si>
  <si>
    <t>UNIFORME</t>
  </si>
  <si>
    <t>EPI - Itens Comuns</t>
  </si>
  <si>
    <t>Capacete de segurança - Classe B</t>
  </si>
  <si>
    <t>Cinto de segurança - Tipo paraquedista</t>
  </si>
  <si>
    <t>Óculos de segurança incolor</t>
  </si>
  <si>
    <t>Óculos de segurança escuro</t>
  </si>
  <si>
    <t>Protetor auricular tipo plug de silicone</t>
  </si>
  <si>
    <t>Protetor solar - FPS 30 - Frasco 120g</t>
  </si>
  <si>
    <t>Frasco (120ml)</t>
  </si>
  <si>
    <t>EPI - Eletricista</t>
  </si>
  <si>
    <t>Calçado de segurança com isolamento elétrico</t>
  </si>
  <si>
    <t>Cinto de segurança/tabalaste - cintura</t>
  </si>
  <si>
    <t>Luvas de cobertura em vaqueta</t>
  </si>
  <si>
    <t>Luvas de isolantes para eletricista</t>
  </si>
  <si>
    <t>EPI - Oficial de Manutenção</t>
  </si>
  <si>
    <t>Calçado de segurança</t>
  </si>
  <si>
    <t>Luva nitrilica</t>
  </si>
  <si>
    <t>Luva de vaqueta mista</t>
  </si>
  <si>
    <t>Respirador PFF2</t>
  </si>
  <si>
    <t>EQUIPAMENTOS DE PROTEÇÃO INDIVIDUAL</t>
  </si>
  <si>
    <t>Observação: Uniforme para um profissional.</t>
  </si>
  <si>
    <t>VALOR TOTAL MENSAL POR POSTO</t>
  </si>
  <si>
    <t xml:space="preserve">Valor unitário </t>
  </si>
  <si>
    <t>Vida útil (meses)</t>
  </si>
  <si>
    <t>SUBTOTAL DOS EPI's - ITENS COMUNS</t>
  </si>
  <si>
    <t>SUBTOTAL DOS EPI's - OFICIAL DE MANUTENÇÃO + EPI's - ITENS COMUNS</t>
  </si>
  <si>
    <t>SUBTOTAL DOS EPI's - ELETRICISTA + EPI's - ITENS COMUNS</t>
  </si>
  <si>
    <t>EPI's</t>
  </si>
  <si>
    <t>1. Os EPI's acima são para uso de um profissional.</t>
  </si>
  <si>
    <t>Tipo de Serviço ou Produto</t>
  </si>
  <si>
    <t>Lâmpada LED de 20W</t>
  </si>
  <si>
    <t>Lâmpada LED composta de refletor dicroico 4W, cor 3000k</t>
  </si>
  <si>
    <t>Pilha alcalina de alta durabilidade, tamanho média, modelo C</t>
  </si>
  <si>
    <t>Pilha alcalina modelo mini</t>
  </si>
  <si>
    <t>Pilha alcalina de alta durabilidade, tamanho palito, modelo AAA</t>
  </si>
  <si>
    <t>Cabo de telefone CCI-50-1 (1 par)</t>
  </si>
  <si>
    <t>metro</t>
  </si>
  <si>
    <t>Fio Jumper 2x0,50mm</t>
  </si>
  <si>
    <t>rolo</t>
  </si>
  <si>
    <t>Luminária de emergência (bloco autônomo)</t>
  </si>
  <si>
    <t>peça</t>
  </si>
  <si>
    <t>Lâmpada LED de 15W</t>
  </si>
  <si>
    <t>Lâmpada tubular LED de 18W</t>
  </si>
  <si>
    <t>Canaleta 50x20mm</t>
  </si>
  <si>
    <t>Tomada de sobrepor 10A</t>
  </si>
  <si>
    <t>Espelho horizontal c/ suporte 4x4 (4 módulos)</t>
  </si>
  <si>
    <t>Conector RJ-11 macho para telefonia e dados</t>
  </si>
  <si>
    <t>Rolo (100 m)</t>
  </si>
  <si>
    <t>Conjunto </t>
  </si>
  <si>
    <t>litro</t>
  </si>
  <si>
    <t>Lata (18l/25kg)</t>
  </si>
  <si>
    <t>Peça</t>
  </si>
  <si>
    <t xml:space="preserve">     Peça</t>
  </si>
  <si>
    <t>m²</t>
  </si>
  <si>
    <t>Metro quadrado</t>
  </si>
  <si>
    <t>quilo</t>
  </si>
  <si>
    <t>Plugue 2P+T Junção Macho. 10 A, 250 V.</t>
  </si>
  <si>
    <t>Par de torneiras para purificador de água IBBL 600</t>
  </si>
  <si>
    <t>par</t>
  </si>
  <si>
    <t>Refil de filtro para purificador de água IBBL 600</t>
  </si>
  <si>
    <t>Cachimbo longo de torneira IBBL 600</t>
  </si>
  <si>
    <t>Mangueira 1/4 para purificador de água IBBL 600</t>
  </si>
  <si>
    <t>Niple PP para torneira de purificador de água IBBL 600</t>
  </si>
  <si>
    <t>Adaptador de niple para purificador de água IBBL 600</t>
  </si>
  <si>
    <t>Isolador térmico do cachimbo do purificador de água IBBL 600</t>
  </si>
  <si>
    <t xml:space="preserve">Capacitores 2,5 mf; </t>
  </si>
  <si>
    <t xml:space="preserve">Capacitores 3 mf; </t>
  </si>
  <si>
    <t xml:space="preserve">Capacitores 4 mf; </t>
  </si>
  <si>
    <t xml:space="preserve">Capacitores 5 mf; </t>
  </si>
  <si>
    <t xml:space="preserve">Capacitores 30 mf; </t>
  </si>
  <si>
    <t xml:space="preserve">Capacitores 40 mf; </t>
  </si>
  <si>
    <t xml:space="preserve">Capacitores 45 mf; </t>
  </si>
  <si>
    <t xml:space="preserve">Capacitores 50 mf; </t>
  </si>
  <si>
    <t xml:space="preserve">Bornes; </t>
  </si>
  <si>
    <t>Conduite flexivel pvc 1"</t>
  </si>
  <si>
    <t>Metro</t>
  </si>
  <si>
    <t xml:space="preserve">Eletroduto galvanizado 1"; </t>
  </si>
  <si>
    <t xml:space="preserve">Espaguete termo-retrátil; </t>
  </si>
  <si>
    <t xml:space="preserve">Terminais elétricos (pacote com 100 unidades); </t>
  </si>
  <si>
    <t xml:space="preserve">Sensores ambiente; </t>
  </si>
  <si>
    <t>Sensores termicos;</t>
  </si>
  <si>
    <t>Manômetros (Manifold)</t>
  </si>
  <si>
    <t xml:space="preserve">Placa eletrônicas da evaporadora; </t>
  </si>
  <si>
    <t xml:space="preserve">Placa eletrônicas do condensador; </t>
  </si>
  <si>
    <t xml:space="preserve">Disjuntores 10 A - 3 polos - curva c - DIN; </t>
  </si>
  <si>
    <t xml:space="preserve">Disjuntores 10 A - 2 polos - curva c - DIN; </t>
  </si>
  <si>
    <t>Disjuntores 10 A - unipolar curva c - DIN;</t>
  </si>
  <si>
    <t xml:space="preserve">Disjuntores 16 A - 3 polos - curva c - DIN; </t>
  </si>
  <si>
    <t xml:space="preserve">Disjuntores 16 A - 2 polos - curva c - DIN; </t>
  </si>
  <si>
    <t>Disjuntores 16 A - unipolar curva c - DIN;</t>
  </si>
  <si>
    <t xml:space="preserve">Disjuntores 20 A - 3 polos - curva c - DIN; </t>
  </si>
  <si>
    <t xml:space="preserve">Disjuntores 20 A - 2 polos - curva c - DIN; </t>
  </si>
  <si>
    <t>Disjuntores 20 A - unipolar curva c - DIN;</t>
  </si>
  <si>
    <t xml:space="preserve">Disjuntores 25 A - 3 polos - curva c - DIN; </t>
  </si>
  <si>
    <t xml:space="preserve">Disjuntores 25 A - 2 polos - curva c - DIN; </t>
  </si>
  <si>
    <t>Disjuntores 25 A - unipolar curva c - DIN;</t>
  </si>
  <si>
    <t xml:space="preserve">Disjuntores 32 A - 3 polos - curva c - DIN; </t>
  </si>
  <si>
    <t xml:space="preserve">Disjuntores 32 A - 2 polos - curva c - DIN; </t>
  </si>
  <si>
    <t>Disjuntores 32 A - unipolar curva c - DIN;</t>
  </si>
  <si>
    <t>Contator - bobina 220 V - 3 polos de 9 A;</t>
  </si>
  <si>
    <t>Contator - bobina 220 V - 3 polos de 12 A;</t>
  </si>
  <si>
    <t>Contator - bobina 220 V - 3 polos de 22 A;</t>
  </si>
  <si>
    <t>Contator - bobina 220 V - 3 polos de 25 A;</t>
  </si>
  <si>
    <t>Contator - bobina 220 V - 3 polos de 32 A;</t>
  </si>
  <si>
    <t xml:space="preserve">Compressor; </t>
  </si>
  <si>
    <t xml:space="preserve">Hélice do condensador; </t>
  </si>
  <si>
    <t xml:space="preserve">Motor do ventilador do condensador; </t>
  </si>
  <si>
    <t>Motor do compressor;</t>
  </si>
  <si>
    <t xml:space="preserve">Filtro secador; </t>
  </si>
  <si>
    <t>Filtro exaustão;</t>
  </si>
  <si>
    <t xml:space="preserve">Gás R-22 (certificado pelo IBAMA); </t>
  </si>
  <si>
    <t xml:space="preserve">Gás R-410 (certificado pelo IBAMA); </t>
  </si>
  <si>
    <t xml:space="preserve">Isoladores de vibrações; </t>
  </si>
  <si>
    <t xml:space="preserve">Isolamento térmico para tubulação 3/16"; </t>
  </si>
  <si>
    <t xml:space="preserve">Isolamento térmico para tubulação 3/8"; </t>
  </si>
  <si>
    <t xml:space="preserve">Isolamento térmico para tubulação 1/2"; </t>
  </si>
  <si>
    <t xml:space="preserve">Isolamento térmico para tubulação 5/8"; </t>
  </si>
  <si>
    <t>Mangueira de silicone para dreno 12 mm</t>
  </si>
  <si>
    <t>Tubo PVC marrom 20 mm soldavel</t>
  </si>
  <si>
    <t>Tubo PVC marrom 25 mm soldavel</t>
  </si>
  <si>
    <t>Tubo de cobre sem costura 3/16"</t>
  </si>
  <si>
    <t>Tubo de cobre sem costura 1/4"</t>
  </si>
  <si>
    <t>Tubo de cobre sem costura 5/16"</t>
  </si>
  <si>
    <t>Tubo de cobre sem costura 3/8"</t>
  </si>
  <si>
    <t>Tubo de cobre sem costura 1/2"</t>
  </si>
  <si>
    <t>Tubo de cobre sem costura 5/8"</t>
  </si>
  <si>
    <t>União de cobre soldavel 3/8";</t>
  </si>
  <si>
    <t>União de cobre soldavel 1/2";</t>
  </si>
  <si>
    <t>União de cobre soldavel 5/8";</t>
  </si>
  <si>
    <t>Barra roscada 1/4";</t>
  </si>
  <si>
    <t>Barra roscada 1/2";</t>
  </si>
  <si>
    <t>Parabolt 1/4";</t>
  </si>
  <si>
    <t>Parabolt 5/16";</t>
  </si>
  <si>
    <t>Parabolt 3/8";</t>
  </si>
  <si>
    <t>Parabolt 1/2";</t>
  </si>
  <si>
    <t>Suporte para ar condicionado de 12000 BTUs;</t>
  </si>
  <si>
    <t>Suporte para ar condicionado de 15000 BTUs;</t>
  </si>
  <si>
    <t>Suporte para ar condicionado de 18000 BTUs;</t>
  </si>
  <si>
    <t>Suporte para ar condicionado de 35000 BTUs;</t>
  </si>
  <si>
    <t>Suporte para ar condicionado de 60000 BTUs;</t>
  </si>
  <si>
    <t>Verniz spray;</t>
  </si>
  <si>
    <t>frasco (400ml)</t>
  </si>
  <si>
    <t>Verniz;</t>
  </si>
  <si>
    <t>primer;</t>
  </si>
  <si>
    <t>Lata (18l)</t>
  </si>
  <si>
    <t>Lata</t>
  </si>
  <si>
    <t xml:space="preserve">Limpa-contato, spray; </t>
  </si>
  <si>
    <t xml:space="preserve">Detergente para limpeza de serpentina; </t>
  </si>
  <si>
    <t>Litro</t>
  </si>
  <si>
    <t xml:space="preserve">Detergente  desincrostante de limpeza em geral, tipo Metasil ou similar; </t>
  </si>
  <si>
    <t>frasco</t>
  </si>
  <si>
    <t xml:space="preserve">Bactericida; </t>
  </si>
  <si>
    <t>frasco (500ml)</t>
  </si>
  <si>
    <t>Pilha alcalina de alta durabilidade, tamanho pequena, modelo AA</t>
  </si>
  <si>
    <r>
      <t>Cabo PP 4 x 2,5 mm</t>
    </r>
    <r>
      <rPr>
        <vertAlign val="superscript"/>
        <sz val="11"/>
        <rFont val="Calibri"/>
        <family val="2"/>
        <scheme val="minor"/>
      </rPr>
      <t>2</t>
    </r>
    <r>
      <rPr>
        <sz val="11"/>
        <rFont val="Calibri"/>
        <family val="2"/>
        <scheme val="minor"/>
      </rPr>
      <t xml:space="preserve">; </t>
    </r>
  </si>
  <si>
    <r>
      <t>Cabo PP 3 x 4 mm</t>
    </r>
    <r>
      <rPr>
        <vertAlign val="superscript"/>
        <sz val="11"/>
        <rFont val="Calibri"/>
        <family val="2"/>
        <scheme val="minor"/>
      </rPr>
      <t>2</t>
    </r>
    <r>
      <rPr>
        <sz val="11"/>
        <rFont val="Calibri"/>
        <family val="2"/>
        <scheme val="minor"/>
      </rPr>
      <t xml:space="preserve">; </t>
    </r>
  </si>
  <si>
    <r>
      <t>Cabo PP 3 x 6 mm</t>
    </r>
    <r>
      <rPr>
        <vertAlign val="superscript"/>
        <sz val="11"/>
        <rFont val="Calibri"/>
        <family val="2"/>
        <scheme val="minor"/>
      </rPr>
      <t>2</t>
    </r>
    <r>
      <rPr>
        <sz val="11"/>
        <rFont val="Calibri"/>
        <family val="2"/>
        <scheme val="minor"/>
      </rPr>
      <t xml:space="preserve">; </t>
    </r>
  </si>
  <si>
    <r>
      <t>Cabo flexivel 6 mm</t>
    </r>
    <r>
      <rPr>
        <vertAlign val="superscript"/>
        <sz val="11"/>
        <rFont val="Calibri"/>
        <family val="2"/>
        <scheme val="minor"/>
      </rPr>
      <t>2</t>
    </r>
    <r>
      <rPr>
        <sz val="11"/>
        <rFont val="Calibri"/>
        <family val="2"/>
        <scheme val="minor"/>
      </rPr>
      <t>;</t>
    </r>
  </si>
  <si>
    <t>Conduíte de corrugação paralela de diâmetro 3/4", bitola de aprox. 25 mm, fabricado em PVC antichama, resistência 750 n / 5 cm, indicado para instalações de baixa tensão. Rolo com 50 m. Cor amarela.</t>
  </si>
  <si>
    <t>Conector modelo RJ-45 macho para rede de dados, compatível com cabo sólido e flexível, medidas aproximadas de 8 x 11,7 mm, cor transparente, condutor com diâmetro de 22 x 26 AWG, categoria6, contatos elétricos em 08 vias de bronze fosforoso e corpo em material termoplástico resistente à chamas tipo UL94V-0</t>
  </si>
  <si>
    <t>Espelho modular vertical para tomada c/ suporte 4x2 (1 módulo), composto de material termoplástico cor branco, acabamento anti-estático</t>
  </si>
  <si>
    <t>Espelho vertical c/ suporte 4x2 (2 módulos ou tecla tupla), cor branca, para tomada 2P+T</t>
  </si>
  <si>
    <t>Fusível de 10 amperes em formato de tubo, corpo composto de vidro e terminais de latão niquelado, dimensões aproximadas de 5 x 20 mm, tempo corrente de tensão rápida, tensão nominal de 250V, resistência a vibração de 24 ciclos (15 minutos), capacidade de interrupção nominal baixa (35A)peso unitário aproximado de 01 g. Pacote com 10 unidades</t>
  </si>
  <si>
    <t>Organizador de cabos em espiral composto de polipropileno resistente à chama 1/2" cor preta. Diametro externo de aprox. 12 mm e interno de aprox. 8,4 mm Rolo com 25 metros</t>
  </si>
  <si>
    <t>Plugue modelo 2P+T Junção Fêmea. 10A, 250 V.</t>
  </si>
  <si>
    <t>Soquete de base E27, corrente suportada de 4A, 250V, com corpo em porcelana branca reta sem cabo, altura de 42m e diâmetro de 35mm (similar ao modelo HX/910-M Lucchi)</t>
  </si>
  <si>
    <t>Tomada de embutir redonda 4x2 simples modelo 2P+T, sem espelho, cor branca ou preta</t>
  </si>
  <si>
    <t>Tomada de sobrepor modelo 2P+T 10A - Tensão Máxima 250V, Sistema X, com caixa</t>
  </si>
  <si>
    <t>Tomada de sobrepor modelo 2P+T 20A - Tensão Máxima 250V - Sistema X, com caixa</t>
  </si>
  <si>
    <t>Tomada para piso modelo 2P+T redonda, corpo e tampa em poliamida e terminais de latão, cor preta, tensão máxima 250 V, sem placa, cor branca ou preta</t>
  </si>
  <si>
    <t>Cabo cor verde flexível de cobre eletrolítico nu, têmpera mole, encordoamento classe 04, seção nominal de 1,5 mm², diâmetro do
condutor de 1,55 mm, espessura nominal de isolação de 0,7 mm, diâmetro externo nomial de 2,95 mm. Massa líquida aprox. de 20 Kg/km. Revestimento de isolação em cor verde de PVC/A 70º - NBR NM 247/3. Tensão de isolação de 750 V</t>
  </si>
  <si>
    <t>Cabo cor verde flexível de cobre eletrolítico nu, têmpera mole, encordoamento classe 04, seção nominal de 2,5 mm², diâmetro do condutor de 1,97 mm, espessura nominal de isolação de 0,8 mm, diâmetro externo nomial de 3,57 mm. Massa líquida aprox. de 32 Kg/km. Revestimento de isolação em cor verde de PVC/A 70º - NBR NM 247/3. Tensão de isolação de 750 V</t>
  </si>
  <si>
    <t>Cabo cor verde flexível de cobre eletrolítico nu, têmpera mole, encordoamento classe 04, seção nominal de 4 mm², diâmetro do condutor de 2,50 mm, espessura nominal de isolação de 0,8 mm,
diâmetro externo nomial de 4,10 mm. Massa líquida aprox. de 46 Kg/km. Revestimento de isolação em cor verde de PVC/A 70º - NBR NM 247/3. Tensão de isolação de 750 V</t>
  </si>
  <si>
    <t>Cabo cor vermelha flexível de cobre eletrolítico nu, têmpera mole, encordoamento classe 04, seção nominal de 1,5 mm², diâmetro do condutor de 1,55 mm, espessura nominal de isolação de 0,7 mm, diâmetro externo nomial de 2,95 mm. Massa líquida aprox. de 20 Kg/km. Revestimento de isolação em cor vermelha de PVC/A 70º - NBR NM 247/3</t>
  </si>
  <si>
    <t>Cabo cor vermelha flexível de cobre eletrolítico nu, têmpera mole, encordoamento classe 04, seção nominal de 2,5 mm², diâmetro do
condutor de 1,97 mm, espessura nominal de isolação de 0,8 mm,
diâmetro externo nomial de 3,57 mm. Massa líquida aprox. de 32 Kg/km. Revestimento de isolação em cor vermelha de PVC/A 70º - NBR NM 247/3. Tensão de isolação de 750 V</t>
  </si>
  <si>
    <t>Cabo cor vermelho flexível de cobre eletrolítico nu, têmpera mole, encordoamento classe 04, seção nominal de 4 mm², diâmetro do
condutor de 2,50 mm, espessura nominal de isolação de 0,8 mm,
diâmetro externo nomial de 4,10 mm. Massa líquida aprox. de 46 Kg/km. Revestimento de isolação em cor vermelho de PVC/A 70º - NBR NM 247/3. Tensão de isolação de 750 V. Apresentado em rolo com 100 m</t>
  </si>
  <si>
    <t>Cabo de rede LAN cor azul Categoria 6 modelo U/UTP (não blindado), confeccionado em cobre eletrolítico nu, diâmetro nomial de 24 / 23 AWG coberto por polietileno termoplástico.
Condutores isolados em pares, num total de 04 pares identificados pelas cores azul, laranja, verde e marrom.
Capa externa em material PVC material resistente à chama. Diâmetro nominal de 6,0 mm. Rolo com 100m.</t>
  </si>
  <si>
    <t>Cabo PP 3 X 2,50mm, para tensões nominais até 0,6/1 kV, formado por fios de cobre nu, eletrolítico, têmpera mole, encordoamento classe 4 (flexíveis), isolado com composto termofixo Etileno Propileno (HEPR) de alto módulo para 90°C, veias torcidas entre si, formando o núcleo, a cobertura extrudada com Policloreto de Vinila (PVC), tipo ST 2, antichama (BWF-B). Apresentado em rolo com 100m.</t>
  </si>
  <si>
    <t>Cabo cor preta flexível de cobre eletrolítico nu, têmpera mole, encordoamento classe 04, seção nominal de 1,5 mm², diâmetro do condutor de 1,55 mm, espessura nominal de isolação de 0,7 mm, diâmetro externo nomial de 2,95 mm. Massa líquida aprox. de 20 Kg/km. Revestimento de isolação em cor preta de PVC/A 70º - NBR NM 247/3. Tensão de isolação de 750 V. Apresentado em
rolo de aprox. 23 cm de diâmetro com 100 m de comprimento</t>
  </si>
  <si>
    <t>Cabo cor preta flexível de cobre eletrolítico nu, têmpera mole, encordoamento classe 04, seção nominal de 2,5 mm², diâmetro do
condutor de 1,97 mm, espessura nominal de isolação de 0,8 mm,
diâmetro externo nomial de 3,57 mm. Massa líquida aprox. de 32 Kg/km. Revestimento de isolação em cor preta de PVC/A 70º - NBR NM 247/3. Tensão de isolação de 750 V</t>
  </si>
  <si>
    <t>Cabo cor preto flexível de cobre eletrolítico nu, têmpera mole,
encordoamento classe 04, seção nominal de 4 mm², diâmetro do
condutor de 2,50 mm, espessura nominal de isolação de 0,8 mm,
diâmetro externo nomial de 4,10 mm. Massa líquida aprox. de 46 Kg/km. Revestimento de isolação em cor preto de PVC/A 70º - NBR NM 247/3. Tensão de isolação de 750 V</t>
  </si>
  <si>
    <t>Cabo telefônico interno modelo CCI-50- 1 (01 par), condutor eletrolítico estanhado de seção maciça aprox. 0,5 mm de diâmetro, isolação com camada copasta de PVC - cloreto de polivinila e revestimento externo de PVC - cloreto de polivinila na cor cinza. Em rolos com 200 metros</t>
  </si>
  <si>
    <t>Dispenser de copos de água (180/200 ml), Dispenser para copo plástico, cor branca, capacidade do copo: 180/200ml. Capacidade: 100 unidades.  Aracterística adicionais: sistema poupa copo com alavanca de acionamento, material  base de fixação em acrílico rígido, acompanhando buchas e parafusos para fixação.</t>
  </si>
  <si>
    <t>Coluna de regulagem de altura por acionamento a gás, material metálico e bucha guia para sistema giratório para aplicação em cadeira de escritório com pistões CLASSE 4 em conformidade com a norma DIN4550, nível máximo de exigência da norma, com capacidade para suportar no mínimo 150kg. Medida do pistão aberto: 412mm (variação máxima +/-20mm); Medida do pistão fechado: 277mm (variação máxima +/-20mm); Curso: 140mm (variação máxima +/-20mm); Tipo de encaixe da ponta da haste: cônico; Conicidade da ponta da haste: 1º26´16”; Tipo da base: cônica baixa; Conicidade da base: 1º26´16”. Compatível com o modelo de cadeira CG-220-PT da FlexForm</t>
  </si>
  <si>
    <t>Adaptador de tomada de padrão plugue 03 pinos (3P) para padrão plugue 2 pinos (2P+T). Entrada bipolar com contato de aterramento padrão plugue 03 pinos correspondente à NBR ABNT 14136 tensão 110-220V. Saída bipolar sem contato de aterramento (2P) conhecido como padrão antigo, tensão de 250 V. Corpo em plástico resistente ao fogo sem aba extra, grau de proteção normal, contatos elétricos em liga de cobre (latão)</t>
  </si>
  <si>
    <t xml:space="preserve">Cabo cor azul flexível de cobre eletrolítico nu, têmpera mole, encordoamento classe 04, seção nominal de 2,5 mm², diâmetro do
condutor de 1,97 mm, espessura nominal de isolação de 0,8 mm,
diâmetro externo nomial de 3,57 mm.
Massa líquida aprox. de 32 Kg/km.
Revestimento de isolação em cor azul de PVC/A 70º - NBR NM 247/3. Tensão de isolação de 750 V. </t>
  </si>
  <si>
    <t xml:space="preserve">Cabo cor azul flexível de cobre eletrolítico nu, têmpera mole, encordoamento classe 04, seção nominal de 1,5 mm², diâmetro do condutor de 1,55 mm, espessura nominal de isolação de 0,7 mm, diâmetro externo nomial de 2,95 mm. Massa líquida aprox. de 20 Kg/km. Revestimento de isolação em cor azul de PVC/A 70º - NBR NM 247/3. Tensão de isolação de 750 V. </t>
  </si>
  <si>
    <t>Cabo cor azul flexível de cobre eletrolítico nu, têmpera mole, encordoamento classe 04, seção nominal de 4 mm², diâmetro do condutor de 2,50 mm, espessura nominal de isolação de 0,8 mm, diâmetro externo nomial de 4,10 mm. 
Massa líquida aprox. de 46 Kg/km.
Revestimento de isolação em cor azul de PVC/A 70º - NBR NM 247/3. Tensão de isolação de 750 V. Apresentado em rolo com 100 m</t>
  </si>
  <si>
    <t>Carpete cor marinho, em placas de 50x50cm, para uso em piso elevado, similar ao modelo "Desertus II cód. 118" da fabricante WK Carpetes, para reposição e manutenção do padrão existente, já instalado.</t>
  </si>
  <si>
    <t>Piso vinílico "Square Acoustic", em placas de 50x50cm, para uso em piso elevado, similar ao modelo "Square coleção Acoustic, cor cód.: 3683032" da fabricante Tarkett, para reposição e manutenção do padrão existente, já instalado.</t>
  </si>
  <si>
    <t>Piso vinílico "Kilt Modular", em placas de 50x50cm, para uso em piso elevado, similar ao modelo "Kilt Modular, cor Storm Gray" da fabricante Beaulieu Vinílico, para reposição e manutenção do padrão existente, já instalado.</t>
  </si>
  <si>
    <t>Adesivo de contato, à base de solvente, sem toluol, com pega permanente, para uso em placas de piso vinílico, similar ao produto "Adesivo de contato Tradicional" da marca Cascola.</t>
  </si>
  <si>
    <t>Mola dobradiça para portas corta-fogo, em aço galvanizado, com acabamento zincado, tamanho aproximado de 100mm.</t>
  </si>
  <si>
    <t>Fechadura para porta corta-fogo, do tipo de sobrepor, sem chave, na cor preta.</t>
  </si>
  <si>
    <t>Telefone headset com fio (base discadora e monofone de tiara), com ajuste de volume da campainha e da saída de áudio do fone, compatível com linha direta e ramal analógico, teclas com funções "mute", "redial", "flash", com fone de ouvido monoauricular com arco ajustável para cabeça e microfone com aste flexível, com protetor auricular em courino e protetor bocal em espuma, removíveis e substituíveis. Devidamente homologado pela ANATEL.</t>
  </si>
  <si>
    <t>Dispenser de copos de chá (110ml), Dispenser para copo plástico, material plástico abs, acrílico, capacidade copo: 110 ml. Capacidade: 70 a 125 copos. Características adicionais: sistema poupa copo com alavanca de acionamento, com base de fixação em polipropileno, acompanhando buchas e parafusos para fixação.</t>
  </si>
  <si>
    <t>Tinta acrílica cor branco neve, à base de água, acabamento fosco, tipo Econômica ou superior, com rendimento entre 45 e 70m² por demão, de 2 a 4 demãos para cobrimento, secagem ao toque de até 60 minutos, entre demãos de 4 horas e secagem final de até 12 horas, ação antimofo,  que possua Atestado de Qualificação da ABRAFATI.</t>
  </si>
  <si>
    <t>Tinta Esmalte sintético brilhante cor Platina, pintura em metais, para diluição em Aguarrás, tipo Standard ou superior, com rendimento de até 50m², de 2 a 3 demãos para cobrimento, entre demãos de 2 a 3 horas e secagem final de até 5 horas, de alto brilho,  que possua Atestado de Qualificação ABRAFATI.</t>
  </si>
  <si>
    <t>Massa corrida PVA, à base de água, acabamento fino com rendimento entre 13 e 18m² por demão/galão, de 2 a 3 demãos para cobrimento, secagem ao toque de até 40 minutos, entre demãos de até 3 horas e secagem final de até 5 horas, que possua Atestado de Qualificação da ABRAFATI.</t>
  </si>
  <si>
    <t>Verniz Marítimo para madeira, brilhante de cor natural, que proteja e mantenha o aspecto natural da madeira, alta resistência contra chuva e sol, com filtro solar, para diluição em aguarrás, com rendimento entre 80 e 120m² por demão/galão, de 1 a 3 demãos para cobrimento em repintura, secagem ao toque de 3 a 6 horas, entre demãos de até 12 horas e secagem final de até 24 horas, que esteja dentro dos padrões estabelecidos pela NBR 11702/2010.</t>
  </si>
  <si>
    <t>Montante de aço galvanizado, com espessura da chapa de 0,50mm e largura de 70mm. Barra de 3 (três) metros.</t>
  </si>
  <si>
    <t>Guia de aço galvanizado, com espessura da chapa de 0,50mm e largura de 70mm. Barra de 3 (três) metros.</t>
  </si>
  <si>
    <t>Chapa de gesso acartonado Standard, para áreas secas, com medidas de 1,80x1,20m e 12,5mm de espessura, com bordas rebaixadas, que atenda às NBR's 14715/2001, 14716/2001, 14717/2001.</t>
  </si>
  <si>
    <t>Placa de forro de fibra mineral, cor branca, com alta absorção de ruído com medidas de 625x1250x14mm, com Fator de Propagação de Chamas de 25 ou inferior(rotulado por UL), similar ao modelo "Scala textura média cód.: 3046D" da marca Armstrong Ceilings.</t>
  </si>
  <si>
    <t>Carpete cor granito, em placas de 50x50cm, para uso em piso elevado, similar ao modelo "Desertus II cód. 110" da fabricante WK Carpetes, para reposição e manutenção do padrão existente, já instalado.</t>
  </si>
  <si>
    <t>Módulo de tomada 10A branca, modelo : 615040 Pialplus/Pial Legrand". Indicação de marca para manter padrão e funcionalidade do objeto.</t>
  </si>
  <si>
    <t>Módulo de tomada 20A branca, modelo : 615060 Pialplus/Pial Legrand. Indicação de marca para manter padrão e funcionalidade do objeto.</t>
  </si>
  <si>
    <t>Tomada de painel com borne, modelo 2P+T retangular, cor preta ou vermelha, tensão máxima 250V, corrente máxima 10A, índice de proteção IP 20, com a parte de fixação e encaixe medindo 22x26mm, dentro dos padrões da NBR 14136, similar ao produto da marca Transmobil Cód.: 30.030.</t>
  </si>
  <si>
    <t>Filtro de linha com 4 tomadas, tensão máxima de 250V, valor mínimo da corrente do conjunto de 8A, com fusível correspondente incluso, cabo com no mínimo 1,50m de comprimento e plug 2P+T.</t>
  </si>
  <si>
    <t>Soquete G13 de engate rápido, para lâmpada tubular de LED. Material: polipropileno, sem rabicho, de engate rápido.</t>
  </si>
  <si>
    <t>Torneira automática para lavatório, com fechamento ativado após aproximadamente 07 segundos funcionando, acionamento hidromecânico em metal e com  pressão manual, bica baixa, com arejador rosqueável, fixação em mesa, bitola 1/2  polegada, com pressão de 2 a 4 M.C.A, com garantia de 01 (um) ano, conforme NBR 13713. Similar ao modelo "Forusimatic Standard 9.11.0259.25" da marca Forusi.</t>
  </si>
  <si>
    <t>Reparo para torneiras Forusi, utilizado na torneira Forusimatic Standard, modelo "Kit Reparo Forusimatic 9.10.0035.00" da marca Forusi. Indicação de marca para manter padrão e funcionalidade do objeto.</t>
  </si>
  <si>
    <t>Válvula para mictório, feita em liga de cobre (latão) e aço inox, similar ao modelo "Válvula para mictório Forusimatic 9.29.0001.25" da marca Forusi.</t>
  </si>
  <si>
    <t>Reparo para caixa acoplada modelo universal para acionamento Lateral ou Superior, kit completo para DECA ou CELITE. O kit deve conter todas as peças, sendo: válvula de entrada de água, válvula de saída, obturador de borracha, correntes e fixadores, botão de acionamento e outros mecanismos.</t>
  </si>
  <si>
    <t>Assento sanitário oval, de polipropileno branco, com arco rígido (injetado) e com batedores, tampo de cobertura total, similar ao modelo "Master Branco TPM/AS" da Astra.</t>
  </si>
  <si>
    <t>Engate flexível para torneira, bitola 1/2", 40cm, de aço inox, cromada, para alta e baixa pressão.</t>
  </si>
  <si>
    <t>Tinta acrílica cor branco gelo, à base de água, acabamento fosco, tipo Econômica ou superior, com rendimento entre 45 e 70m² por demão, de 2 a 4 demãos para cobrimento, secagem ao toque de até 60 minutos, entre demãos de 4 horas e secagem final de até 12 horas, ação antimofo, que possua Atestado de Qualificação da ABRAFATI.</t>
  </si>
  <si>
    <t>Cabo flexível de cobre 1,5mm², encordoamento classe 04. Revestimento de isolação nas cores vermelho, preto, azul ou verde, de PVC/A 70º - NBR NM 247/3. Apresentado em rolo com 100m.</t>
  </si>
  <si>
    <t>Cabo flexível de cobre 2,5mm², encordoamento classe 04. Revestimento de isolação nas cores vermelho, preto, azul e verde, de PVC/A 70º - NBR NM 247/3. Apresentado em rolo com 100m.</t>
  </si>
  <si>
    <t>Cabo flexível PP 3 X 1,50mm², encordoamento classe 4 (flexíveis), isolado com composto termofixo Etileno Propileno (HEPR) de alto módulo para 90°C, veias torcidas entre si, formando o núcleo, a cobertura extrudada com Policloreto de Vinila (PVC), tipo ST 2, antichama (BWF-B). Apresentado em rolo com 100m</t>
  </si>
  <si>
    <t>Cabo flexível PP 3 X 2,50mm², encordoamento classe 4 (flexíveis), isolado com composto termofixo Etileno Propileno (HEPR) de alto módulo para 90°C, veias torcidas entre si, formando o núcleo, a cobertura extrudada com Policloreto de Vinila (PVC), tipo ST 2, antichama (BWF-B). Apresentado em rolo com 100m</t>
  </si>
  <si>
    <t>Soquete de porcelana, de base E27, com corpo em porcelana branca reta, altura de 42mm e diâmetro 35mm.</t>
  </si>
  <si>
    <t>Interruptor bipolar simples de 1 módulo, cor branca, adequado para reposição em espelhos modelo 612005 Pialplus/Pial Legrand. Indicação de marca para manter padrão e funcionalidade do objeto.</t>
  </si>
  <si>
    <t>Interruptor bipolar simples (tecla dupla), corrente máxima de 25A, tensão até 250V, modelo : 612016 Pialplus/Pial Legrand". Indicação de marca para manter padrão e funcionalidade do objeto.</t>
  </si>
  <si>
    <t>Valor unitário</t>
  </si>
  <si>
    <t>Valor Anual</t>
  </si>
  <si>
    <t>NÚMERO DE MESES DA EXECUÇÃO CONTRATUAL</t>
  </si>
  <si>
    <t>Fita isolante, cor preta, 19 mm x 20 m espessura de 0,19 mm - Produto certificado a 105°C de acordo com ABNT NBR NM 60454-3-1 - Classe A - Profissional - Resistente a U.V - Antichamas e Autoextinguivel</t>
  </si>
  <si>
    <t>Rolo</t>
  </si>
  <si>
    <t>Fita crepe 18 mm x 50 m</t>
  </si>
  <si>
    <t>Fita veda rosca 18 mm x 50 m</t>
  </si>
  <si>
    <r>
      <t>Pote de graxa à base de cálcio, hidrorepelente, ponto de gota é de 90</t>
    </r>
    <r>
      <rPr>
        <vertAlign val="superscript"/>
        <sz val="10"/>
        <rFont val="Calibri"/>
        <family val="2"/>
        <scheme val="minor"/>
      </rPr>
      <t xml:space="preserve">o </t>
    </r>
    <r>
      <rPr>
        <sz val="10"/>
        <rFont val="Calibri"/>
        <family val="2"/>
        <scheme val="minor"/>
      </rPr>
      <t>C500 gr</t>
    </r>
  </si>
  <si>
    <t>Quilo</t>
  </si>
  <si>
    <t>Spray lubrificante, anticorrosivo (desengripante) 300 ml</t>
  </si>
  <si>
    <t>Frasco</t>
  </si>
  <si>
    <t>Parafuso autobrocante para dryway 25  mm</t>
  </si>
  <si>
    <t>Prego com cabeça 18 x 27</t>
  </si>
  <si>
    <t>Pacote com 50</t>
  </si>
  <si>
    <t>Abraçadeira nylon (fita hellermann) 10 cm</t>
  </si>
  <si>
    <t>Abraçadeira nylon (fita hellermann) 15 cm</t>
  </si>
  <si>
    <t>Abraçadeira nylon (fita hellermann) 20 cm</t>
  </si>
  <si>
    <r>
      <t>Folha de lixa para parede grão n</t>
    </r>
    <r>
      <rPr>
        <vertAlign val="superscript"/>
        <sz val="10"/>
        <rFont val="Calibri"/>
        <family val="2"/>
        <scheme val="minor"/>
      </rPr>
      <t>o</t>
    </r>
    <r>
      <rPr>
        <sz val="10"/>
        <rFont val="Calibri"/>
        <family val="2"/>
        <scheme val="minor"/>
      </rPr>
      <t xml:space="preserve"> 120</t>
    </r>
  </si>
  <si>
    <r>
      <t>Folha de lixa para parede grão n</t>
    </r>
    <r>
      <rPr>
        <vertAlign val="superscript"/>
        <sz val="10"/>
        <rFont val="Calibri"/>
        <family val="2"/>
        <scheme val="minor"/>
      </rPr>
      <t>o</t>
    </r>
    <r>
      <rPr>
        <sz val="10"/>
        <rFont val="Calibri"/>
        <family val="2"/>
        <scheme val="minor"/>
      </rPr>
      <t xml:space="preserve"> 220</t>
    </r>
  </si>
  <si>
    <r>
      <t>Folha de lixa para ferro grão n</t>
    </r>
    <r>
      <rPr>
        <vertAlign val="superscript"/>
        <sz val="10"/>
        <rFont val="Calibri"/>
        <family val="2"/>
        <scheme val="minor"/>
      </rPr>
      <t>o</t>
    </r>
    <r>
      <rPr>
        <sz val="10"/>
        <rFont val="Calibri"/>
        <family val="2"/>
        <scheme val="minor"/>
      </rPr>
      <t xml:space="preserve"> 120</t>
    </r>
  </si>
  <si>
    <r>
      <t>Folha de lixa para ferro grão n</t>
    </r>
    <r>
      <rPr>
        <vertAlign val="superscript"/>
        <sz val="10"/>
        <rFont val="Calibri"/>
        <family val="2"/>
        <scheme val="minor"/>
      </rPr>
      <t>o</t>
    </r>
    <r>
      <rPr>
        <sz val="10"/>
        <rFont val="Calibri"/>
        <family val="2"/>
        <scheme val="minor"/>
      </rPr>
      <t xml:space="preserve"> 220</t>
    </r>
  </si>
  <si>
    <t>Arruela lisa, zincada, com diâmetro interno de 10 mm</t>
  </si>
  <si>
    <t>Prego de aço com cabeça 17 x 27</t>
  </si>
  <si>
    <t>Trincha 2" (pincel) para tinta à base de água ou solvente.</t>
  </si>
  <si>
    <t>Trincha 3" (pincel) para tinta à base de água ou solvente.</t>
  </si>
  <si>
    <t>Rolo de lã de carneiro com 23 cm e cabo, para pintura de parede lisa</t>
  </si>
  <si>
    <t>Rolo de lã de carneiro com 23 cm e cabo, para pintura de parede rugosa</t>
  </si>
  <si>
    <t>Lata de thinner com 900 ml</t>
  </si>
  <si>
    <t>Estopa de 100% algodão</t>
  </si>
  <si>
    <t>Adesivo Plástico para PVC Frasco 175g (Cola de conexões hidraulicas)</t>
  </si>
  <si>
    <t>broca de aço rápido (furar ferro e madeira) 2 mm</t>
  </si>
  <si>
    <t>broca de aço rápido (furar ferro e madeira) 4 mm</t>
  </si>
  <si>
    <t>broca de aço rápido (furar ferro e madeira) 7 mm</t>
  </si>
  <si>
    <t>Disco de corte fine cut para esmerilhadeira ângular, 115 x 1 x 22,2 mm</t>
  </si>
  <si>
    <t>Fita zebrada para isolamento de área, rolo de 70mm x 200m</t>
  </si>
  <si>
    <t>Rolo de estanho para solda de 1mm com 500g</t>
  </si>
  <si>
    <t>Eletrodo revestido E6013 de 3,25 mm para solda eletrica, lata 20 Kg</t>
  </si>
  <si>
    <t>Óleo Lubrificante multiuso, ISO VG 10, frasco de  100 ml</t>
  </si>
  <si>
    <t>Pincel pintura predial, material cerdas sintético, tipo cabo curto, tamanho 3, características adicionais com virola aço estanhado</t>
  </si>
  <si>
    <t>Pincel pintura predial, material cerdas sintético, tipo cabo curto, tamanho 2, características adicionais com virola aço estanhado</t>
  </si>
  <si>
    <t>Pincel pintura predial, material cerdas pelo de esquilo, tipo cabo curto, tamanho 1/2, formato retangular, características adicionais com virola aço estanhado</t>
  </si>
  <si>
    <t>Pincel pintura predial, material cerdas pelo orelha de boi, tipo cabo curto, tamanho 1 1/2, formato retangular, características adicionais com virola flandres anodizado/estanhado</t>
  </si>
  <si>
    <t>Pincel pintura predial, material cerdas gris especial, tipo cabo longo, tamanho 6, formato plano</t>
  </si>
  <si>
    <t>Fita isolante de auto-fusão</t>
  </si>
  <si>
    <t>FERRAMENTAS</t>
  </si>
  <si>
    <t>Especificação</t>
  </si>
  <si>
    <t>ALICATE BICO MEIA CANA, MATERIAL AÇO CROMO VANÁDIO, TIPO CABO ISOLADO, TIPO RETO, COMPRIMENTO 6, CARACTERÍSTICAS ADICIONAIS LONGO, FOSTATIZADO</t>
  </si>
  <si>
    <t>UND</t>
  </si>
  <si>
    <t>ALICATE BOMBA D´ÁGUA, MATERIAL AÇO VANÁDIO, TRATAMENTO SUPERFICIAL NIQUELADO, MORDENTE INFERIOR CURVO E BATENTE DE SEGURANÇA, AJUSTE 6 POSIÇÕES, ABERTURA DA BOCA 40 MM, CARACTERÍSTICAS ADICIONAIS RANHURAS USINADAS 6 POSIÇÕES E ISOLAMENTO NO CABO</t>
  </si>
  <si>
    <t>ALICATE DE PRESSÃO, MATERIAL FERRO, TRATAMENTO SUPERFICIAL AÇO VANÁDIO, MORDENTE INFERIOR CURVO, AJUSTE UMA POSIÇÃO, ABERTURA DA BOCA 6, CARACTERÍSTICAS ADICIONAIS ISOLAMENTO NO CABO</t>
  </si>
  <si>
    <t>ALICATE DE PRESSÃO, MATERIAL FERRO, TRATAMENTO SUPERFICIAL AÇO VANÁDIO, MORDENTE INFERIOR CURVO, AJUSTE UMA POSIÇÃO, CARACTERÍSTICAS ADICIONAIS ISOLAMENTO NO CABO, TAMANHO 10</t>
  </si>
  <si>
    <t>ALICATE DESCASCAR FIO, MATERIAL AÇO ESTAMPADO, COMPRIMENTO 188, PESO 300, APLICAÇÃO SERVIÇO LEVE</t>
  </si>
  <si>
    <t>und</t>
  </si>
  <si>
    <t>ALICATE DE PRENSA TERMINAIS E DESENCAPADOR DE FIO  1,5MM2 A 10MM2</t>
  </si>
  <si>
    <t>ALICATE UNIVERSAL DE 8” .</t>
  </si>
  <si>
    <t>ARCO SERRA, LÂMINA SERRA STANDARD 12 POLEGADAS, MATERIAL CABO ALUMÍNIO, TRATAMENTO SUPERFICIAL PINTURA ELETROSTÁTICA, TAMANHO 12, CARACTERÍSTICAS ADICIONAIS PROFUNDIDADE DE CORTE DE 90 MM</t>
  </si>
  <si>
    <t>BOLSA PARA FERRAMENTAS EM LONA ( VERDE OU PRETA) COM FUNDO REFORÇADO EM PVC/EMBORRACHADO, ALÇA PARA TRANSPORTE E ZÍPER PARA FECHAMENTO TAMANHO MÉDIO</t>
  </si>
  <si>
    <t>BROXA PINTURA, MATERIAL BASE MADEIRA, MATERIAL CABO MADEIRA, MATERIAL CERDAS SINTÉTICO E FIBRAS NATURAIS, FORMATO REDONDO, TAMANHO GRANDE, COR CABO LARANJA, APLICAÇÃO CAIAÇÃO E PISOS</t>
  </si>
  <si>
    <t>BROXA PINTURA, MATERIAL BASE MADEIRA, MATERIAL CABO MADEIRA, MATERIAL CERDAS SINTÉTICO E FIBRAS NATURAIS, FORMATO RETANGULAR, TAMANHO GRANDE, COR CABO MARROM, APLICAÇÃO CAIAÇÃO E PISOS, BITOLA 77MM, COMPRIMENTO 120 MM</t>
  </si>
  <si>
    <t>CARRINHO DE MAO CAPACIDADE MINIMA 50 LITROS, PNEU COM CAMARA 8 POLEGADAS</t>
  </si>
  <si>
    <t>CAVADEIRA ARTICULADA, NOME CAVADEIRA ARTICULADA, CAVADEIRA ARTICULADA, MATERIAL AÇO CARBONO, PINTURA ELETROSTÁTICA A PÓ, CABO DE MADEIRA, DIMENSÕES DA CAVADEIRA 29,5 X 12,3 CM, DIMENSÕES DO CABO 120 CM</t>
  </si>
  <si>
    <t>CAVALETE PINUS 75X80 MULTI-USO</t>
  </si>
  <si>
    <t>JOGO CHAVES FENDA, MATERIAL HASTE METAL, TIPO PONTA CHATA, BITOLA 1/8X3; 1/ 8X6; 3/16X8; 1/4X5 E 5/16X8 POL, MATERIAL CABO PLÁSTICO RESISTENTE, TIPO CABO ISOLADO, TRATAMENTO SUPERFICIAL PONTA FOSFATIZADO, QUANTIDADE PEÇAS 5 UN</t>
  </si>
  <si>
    <t>CHAVE FENDA, MATERIAL HASTE AÇO CROMO VANÁDIO, MATERIAL CABO POLIPROPILENO, TIPO PONTA CRUZADA PHILLIPS, BITOLA 1/8 X 3, COMPRIMENTO HASTE MÁXIMO DE 130, CARACTERÍSTICAS ADICIONAIS PONTA FOSFATIZADA, ACABAMENTO  SUPERFICIAL HASTE NIQUELADA E CROMADA</t>
  </si>
  <si>
    <t>CHAVE FENDA, MATERIAL HASTE AÇO VANÁDIO 50CRV4 / 73MOV52, MATERIAL CABO POLIPROPILENO, TIPO PONTA CRUZADA, BITOLA 3/16´ X 4´, COMPRIMENTO HASTE 190, CARACTERÍSTICAS ADICIONAIS PONTA FOSFATIZADA, ACABAMENTO SUPERFICIAL HASTE NIQUELADO E  CROMADO</t>
  </si>
  <si>
    <t>CHAVE DE FENDA, MATERIAL AÇO CROMO VANÁDIO, CABO POLIPROPILENO SIMPLES, TAMANHO 8 X 5/16, CARACTERÍSTICAS ADICIONAIS HASTE NIQUELADA E CROMADA/PONTA FOSFATIZADA, TIPO PONTA FENDA CRUZADA</t>
  </si>
  <si>
    <t>CHAVE FENDA, MATERIAL HASTE AÇO VANÁDIO 50CRV4 / 73MOV52, MATERIAL CABO POLIPROPILENO, TIPO PONTA CRUZADA, BITOLA 5/16´ X 6´, COMPRIMENTO HASTE 260, CARACTERÍSTICAS ADICIONAIS PONTA FOSFATIZADA, ACABAMENTO SUPERFICIAL HASTE NIQUELADO E CROMADO</t>
  </si>
  <si>
    <t>CHAVE FENDA, MATERIAL HASTE CARBONO TEMPERADO, MATERIAL CABO POLIPROPILENO, TIPO PONTA CHATA, BITOLA 1/4´ X 6´</t>
  </si>
  <si>
    <t>CHAVE FENDA, MATERIAL HASTE CARBONO TEMPERADO, MATERIAL CABO POLIPROPILENO, TIPO PONTA CHATA, BITOLA 1/8´ X 4´</t>
  </si>
  <si>
    <t>CHAVE FENDA, MATERIAL HASTE CARBONO TEMPERADO, MATERIAL CABO POLIPROPILENO, TIPO PONTA PHILIPS, BITOLA 3/16´ X 5´</t>
  </si>
  <si>
    <t>CHAVE DE FENDA SIMPLES 3/8 X 8" MATERIAL.</t>
  </si>
  <si>
    <t>JOGO CHAVES FENDA, MATERIAL HASTE AÇO CROMO VANÁDIO, TIPO PONTA CHATA, BITOLA 1/8X2;3/16X4;1/4X4 E 1/4X1 1/2 (TOCO), APLICAÇÃO MANUTENÇÃO EQUIPAMENTOS ELETRÔNICOS, MATERIAL CABO POLIPROPILENO, TIPO CABO ISOLADO, QUANTIDADE PEÇAS 6</t>
  </si>
  <si>
    <t>LIMA MANUAL, TIPO MURÇA, FORMATO REDONDA, COMPRIMENTO 8, DIÂMETRO 3/16</t>
  </si>
  <si>
    <t>LIMA MANUAL, TIPO MURÇA, FORMATO REDONDA, COMPRIMENTO 8, DIÂMETRO 7/32</t>
  </si>
  <si>
    <t>LIMA MANUAL, FORMATO TRIANGULAR, COMPRIMENTO 6, CARACTERÍSTICAS ADICIONAIS PARA SERROTE</t>
  </si>
  <si>
    <t>CHAVE DE TESTE ELÉTRICO, MATERIAL HASTE PLÁSTICO, COMPRIMENTO 150, TIPO PONTA METAL, MATERIAL CABO PLÁSTICO, COR CABO AZUL, CARACTERÍSTICAS ADICIONAIS CANETA, PORTÁTIL, DETECÇÃO TENSÃO, SINAL DE ALERTA</t>
  </si>
  <si>
    <t>CHAVE PARA TUBO, MATERIAL AÇO VANÁDIO, COMPRIMENTO 14´, CAPACIDADE ABERTURA 1 7/8</t>
  </si>
  <si>
    <t>CINTO PORTA FERRAMENTAS EM LONA COM 12 BOLSOS, FABRICADO EM POLIÉSTER, ENGATES PLÁSTICOS, 2 SUPORTES EXTERNOS EM COURO PARA FERRAMENTAS DIVERSAS.</t>
  </si>
  <si>
    <t>COLHER PEDREIRO, MATERIAL AÇO CARBONO, TAMANHO 10, MATERIAL CABO MADEIRA, CARACTERÍSTICAS ADICIONAIS CANTO ARREDONDADO</t>
  </si>
  <si>
    <t>COLHER PEDREIRO, MATERIAL AÇO TEMPERADO E REVENIDO, TAMANHO 8, MATERIAL CABO MADEIRA NOBRE, CARACTERÍSTICAS ADICIONAIS HASTE E LÂMINA INTEIRIÇA, OVAL</t>
  </si>
  <si>
    <t>JOGO CHAVE, MATERIAL AÇO CROMO VANÁDIO, TIPO HEXAGONAL, QUANTIDADE PEÇAS 9, APLICAÇÃO MANUTENÇÃO EQUIPAMENTO MECÂNICO, COMPONENTES CHAVES MEDIDAS 1,5; 2; 2,5; 3; 4; 5; 6; 7 E 8MM, CARACTERÍSTICAS ADICIONAIS  MODELO ´L´, TAMANHO  CURTO,  ACABAMENTO SUPERFICIAL FOSFATIZADO</t>
  </si>
  <si>
    <t>CONJUNTO CHAVES COMBINADAS, MATERIAL AÇO, TAMANHO 1/4´, 5/16´, 3/8´, 7/16´, 1/2´, 9/16´, 5/8´, 11/16, TIPO BOCA + ESTRELA, MATERIAL CABO  POLIPROPILENO</t>
  </si>
  <si>
    <t>CORTA-VERGALHÃO, TIPO TESOURA, MATERIAL AÇO CROMADO MOLIBDÊNIO, MATERIAL CABO PVC - CLORETO DE POLIVINILA, COMPRIMENTO 30, CARACTERÍSTICAS ADICIONAIS LÂMINAS AÇO TEMPERADO/CAPACIADA CORTE 3/8 POL</t>
  </si>
  <si>
    <t>DESEMPENADEIRA DE AÇO MANUAL, MATERIAL AÇO, COMPRIMENTO 25, LARGURA 12, APLICAÇÃO ARGAMASSA, CARACTERÍSTICAS ADICIONAIS COM DENTES</t>
  </si>
  <si>
    <t>ENXADA, MATERIAL AÇO ALTO CARBONO 1070, MATERIAL ENCAIXE CABO FERRO FUNDIDO, LARGURA 23, ALTURA 18, PESO 0,840</t>
  </si>
  <si>
    <t>ESCADA DOMÉSTICA, MATERIAL ALUMÍNIO, NÚMERO DEGRAUS 5, TIPO DEGRAUS ARTICULÁVEIS</t>
  </si>
  <si>
    <t>ESCADA EXTENSÍVEL, MATERIAL ALUMÍNIO, CAPACIDADE ATÉ 120, TIPO SAPATA LARGA E DE BORRACHA, TIPO DEGRAUS (2 X 7) ACOPLADOS LADO A LADO, QUANTIDADE DEGRAUS 07, ALTURA FECHADA 2,40, ALTURA ABERTA 2,2x3,8m</t>
  </si>
  <si>
    <t>ESPÁTULA, MATERIAL LÂMINA METAL, MATERIAL CABO MADEIRA, TAMANHO 12, APLICAÇÃO MASSA E RASPAGEM</t>
  </si>
  <si>
    <t>ESPÁTULA, MATERIAL LÂMINA METAL, MATERIAL CABO MADEIRA, TAMANHO 4, APLICAÇÃO MASSA E RASPAGEM</t>
  </si>
  <si>
    <t>ESPÁTULA, MATERIAL LÂMINA METAL, MATERIAL CABO MADEIRA, TAMANHO 8, APLICAÇÃO MASSA E RASPAGEM</t>
  </si>
  <si>
    <t>ESQUADRO METAL 300MM: ESQUADRO DE METAL, RÉGUA DE METAL E CABO DE METAL. ESCALA EM MILIMETRO E POLEGADA.</t>
  </si>
  <si>
    <t>ESTILETE, TIPO ESTREITO, ESPESSURA 9, MATERIAL CORPO EMBORRACHADO, CARACTERÍSTICAS ADICIONAIS BLOQUADOR DE LÂMINA COM PARAFUSO</t>
  </si>
  <si>
    <t>ESTILETE, TIPO LARGO, ESPESSURA 18, MATERIAL CORPO EMBORRACHADO, CARACTERÍSTICAS ADICIONAIS TRAVA BLOQUEIO DE CORTE/ABRIDOR DE LATAS E ROSQUE</t>
  </si>
  <si>
    <t>UNID</t>
  </si>
  <si>
    <t>FORMÃO. MATERIAL CORPO CROMO VANÁDIO, MATERIAL CABO MADEIRA, BITOLA 1</t>
  </si>
  <si>
    <t>FORMÃO. MATERIAL CORPO CROMO VANÁDIO, MATERIAL CABO MADEIRA, BITOLA 1/2</t>
  </si>
  <si>
    <t>FORMÃO. MATERIAL CORPO CROMO VANÁDIO, MATERIAL CABO MADEIRA, BITOLA ¼</t>
  </si>
  <si>
    <t>FORMÃO. MATERIAL CORPO CROMO VANÁDIO, MATERIAL CABO MADEIRA, BITOLA 3/4</t>
  </si>
  <si>
    <t>JOGO DE CHAVE DE BOCA FIXA. FORJADA EM AÇO CROMO VANÁDIO E TEMPERADA. CABEÇA USINADA. ABERTURA DA BOCA CALIBRADA.  TAMANHOS 6X7, 8X9, 10X11, 12X13, 14X15, 16X17, 18X19, 20X22, 21X23, 24X26, 25X28,  27X32MM. NORMA DE REFERENCIA DIN 3110.</t>
  </si>
  <si>
    <t>JOGO DE CHAVE FENDA ISOLADA: JOGO DE CHAVE DE FENDA ISOLADA, MATERIAL AÇO CROMO-VANÁDIO, PONTA  TIPO CHATA E CRUZADA (PHILLIPS), LARGURA DA PONTA É IGUAL AO DIÂMETRO DA HASTE, POSSIBILITANDO O USO EM BORNES DE COMPONENTES ELÉTRICO E ELETRÔNICO. CHAVE ISOLADA ATÉ 1000 V, CONFORME A NORMA ABNT NBR 9699 (ATENDENDO À NR10). TAMANHOS APROXIMADOS (1/4X6") ; (3/16X4") ; (1/8X6") ; (1/4X6") ; (3/16X4") ; (1/8X3")</t>
  </si>
  <si>
    <t>LÂMINA PARA ESTILETE RETRÁTIL SIMPLES 18MM COM 10 PEÇAS STANLEY – 11301S</t>
  </si>
  <si>
    <t>pacote (10 unid)</t>
  </si>
  <si>
    <t>LANTERNA NÃO ELÉTRICA, MATERIAL PLÁSTICO RESISTENTE, QUANTIDADE PILHAS 2, TAMANHO PILHA AA PEQUENA</t>
  </si>
  <si>
    <t>LIMA CHATA, TIPO BASTARDA, COMPRIMENTO 10, USO DESBASTE RÁPIDO, MATERIAIS FERROSOS/NÃO FERROSOS, APLICAÇÃO LIMAGEM FERRAMENTAS MECÂNICAS E FERRAMENTARIA, CARACTERÍSTICAS ADICIONAIS AMBAS AS FACES COM PICADO DUPLO E CANTOS COM PICA</t>
  </si>
  <si>
    <t>LIMA MANUAL, TIPO GROSA, FORMATO MEIA CANA, COMPRIMENTO 250</t>
  </si>
  <si>
    <t>LIMA MANUAL, TIPO BASTARDA, FORMATO QUADRADA, COMPRIMENTO 8, CARACTERÍSTICAS ADICIONAIS PICADO DUPLO E CABO, ESPESSURA 3/16</t>
  </si>
  <si>
    <t>MARRETA, MATERIAL AÇO CARBONO FORJADO E TEMPERADO, MATERIAL CABO MADEIRA, PESO 1,50, TIPO OITAVADO, ACABAMENTO SUPERFICIAL PINTURA ELETROSTÁTICA</t>
  </si>
  <si>
    <t>MARRETA, MATERIAL AÇO CARBONO FORJADO E TEMPERADO, MATERIAL CABO MADEIRA, PESO 1, TIPO OITAVADO, ACABAMENTO SUPERFICIAL PINTURA ELETROSTÁTICA</t>
  </si>
  <si>
    <t>MARRETA, MATERIAL AÇO CARBONO FORJADO E TEMPERADO, MATERIAL CABO MADEIRA, PESO 2, TIPO OITAVADO, ACABAMENTO SUPERFICIAL PINTURA ELETROSTÁTICA</t>
  </si>
  <si>
    <t>MARTELO, MATERIAL FERRO, MATERIAL CABO MADEIRA, TIPO UNHA, TAMANHO 25</t>
  </si>
  <si>
    <t>MARTELO, MATERIAL BORRACHA, MATERIAL CABO MADEIRA, PESO 450</t>
  </si>
  <si>
    <t>NÍVEL BOLHA, MATERIAL CORPO ALUMÍNIO, TIPO BOLHA RETIFICADA, COMPRIMENTO 600, QUANTIDADE POSIÇÃO BOLHA 2 DE PRUMO/1 DE NÍVEL</t>
  </si>
  <si>
    <t>NÍVEL BOLHA, MATERIAL CORPO MADEIRA, COMPRIMENTO 300, CARACTERÍSTICAS ADICIONAIS AMPOLAS 360 GRAUS, LEITURA ACURADA E ESTRUTURA</t>
  </si>
  <si>
    <t>PÉ-DE-CABRA. FERRAMENTA</t>
  </si>
  <si>
    <t>PICARETA</t>
  </si>
  <si>
    <t>PLAINA MANUAL, MATERIAL CORPO METÁLICO, TAMANHO 9 3/4, MATERIAL CABO MADEIRA, MATERIAL LÂMINA AÇO CROMO VANÁDIO, LARGURA LÂMINA 2</t>
  </si>
  <si>
    <t>PONTEIRO, MATERIAL AÇO, COMPRIMENTO 14, DIÂMETRO 3/4, APLICAÇÃO SERVIÇOS GERAIS</t>
  </si>
  <si>
    <t>PRUMO DE CENTRO 500G METÁLICO. COMPLETO COM CORDA E TACO.</t>
  </si>
  <si>
    <t>RASPADOR DE PINTURA 4CM - LÂMINA AFIADA EM AMBAS EXTREMIDADES PARA GIRO APÓS DESGASTE CORPO EM PLÁSTICO , LÂMINA DE AÇO SAE 1070</t>
  </si>
  <si>
    <t>RÉGUA PEDREIRO, MATERIAL ALUMÍNIO, COMPRIMENTO  2m</t>
  </si>
  <si>
    <t>SERROTE PROFISSIONAL, MATERIAL LÂMINA AÇO ALTO CARBONO, TRATAMENTO SUPERFICIAL TEMPERADO E LIXADO, TIPO TRAVADO, QUANTIDADE DENTES 7 POR POLEGADA, MATERIAL CABO MADEIRA, TAMANHO 18</t>
  </si>
  <si>
    <t>SERROTE COSTA, MATERIAL LÂMINA AÇO ALTO CARBONO, TRATAMENTO SUPERFICIAL TEMPERADO E LIXADO, QUANTIDADE DENTES 12 POR POLEGADA, TIPO TRAVADO, MATERIAL CABO MADEIRA, TAMANHO 10</t>
  </si>
  <si>
    <t>SERROTE PROFISSIONAL, MATERIAL LÂMINA AÇO ALTO CARBONO, TRATAMENTO SUPERFICIAL TEMPERADO E LIXADO, TIPO TRAVADO, QUANTIDADE DENTES 5 POR POLEGADA, MATERIAL CABO MADEIRA, TAMANHO 24</t>
  </si>
  <si>
    <t>TALHADEIRA, MATERIAL AÇO, TIPO CHATO, COMPRIMENTO TOTAL 10, PESO 0,90, APLICAÇÃO PEDREIRO, ACABAMENTO SUPERFICIAL PINTADO, CARACTERÍSTICAS ADICIONAIS COM APUNHADURA</t>
  </si>
  <si>
    <t>TORQUÊS, MATERIAL CORPO AÇO FORJADO E TEMPERADO, TIPO ARMADOR, TIPO ACABAMENTO OXIDADO, TAMANHO 12, PESO 600, CARACTERÍSTICAS ADICIONAIS MANDÍBULAS LIXADAS</t>
  </si>
  <si>
    <t>TRENA, MATERIAL AÇO, LARGURA LÂMINA 13, COMPRIMENTO 5, CARACTERÍSTICAS ADICIONAIS ENROLAMENTO AUTOMÁTICO COM TRAVA</t>
  </si>
  <si>
    <t>Trena a laser 20 metros</t>
  </si>
  <si>
    <t>CHAVE AJUSTÁVEL(INGLESA) 12 POLEGADAS</t>
  </si>
  <si>
    <t>ESCOVA DE AÇO COM CABO</t>
  </si>
  <si>
    <t>JOGO DE CHAVE DE COMBINADA DE 6MM A  22MM</t>
  </si>
  <si>
    <t>LINHA DE PEDREIRO (Rolo com 100m)</t>
  </si>
  <si>
    <t>PÁ DE BICO COM CABO</t>
  </si>
  <si>
    <t>ESCADA EXTENSÍVEL, MATERIAL FIBRA VIDRO, MATERIAL DEGRAU ALUMÍNIO, QUANTIDADE DEGRAUS 25, ALTURA FECHADA 4,63, ALTURA ABERTA 7,86, COR LARANJA, PESO 27,50, CARACTERÍSTICAS ADICIONAIS FAIXAS DE SEGURANÇA AMARELAS E PRETAS, APLICAÇÃO CORPO DE BOMBEIROS</t>
  </si>
  <si>
    <t>CORRENTE PLÁSTICA, PARA ISOLAMENTO DE ÁREA</t>
  </si>
  <si>
    <t>454986 / 310244 / 362630 / 463395</t>
  </si>
  <si>
    <t>HASTE PARA SUPORTE DE CORRENTE</t>
  </si>
  <si>
    <t>PLACA DE SINALIZAÇÃO DOBRÁVEL (COM AS INSCRIÇÕES: “EM MANUTENÇÃO”, EM PVC RÍGIDO, INSCRIÇÃO EM AMBOS OS LADOS, COR AMARELA</t>
  </si>
  <si>
    <t>PLACA DE SINALIZAÇÃO DOBRÁVEL (COM AS INSCRIÇÕES: “NÃO ENTRE. BANHEIRO EM MANUTENÇÃO”), EM PVC RÍGIDO, INSCRIÇÃO EM AMBOS OS LADOS, COR AMARELA</t>
  </si>
  <si>
    <t>Chave Ajustável tipo Inglesa 10";</t>
  </si>
  <si>
    <t>Chave Ajustável tipo Inglesa 15";</t>
  </si>
  <si>
    <t>Chave Ajustável tipo Inglesa 8";</t>
  </si>
  <si>
    <t>Chave grifo tipo corrente para tubo até 6"</t>
  </si>
  <si>
    <t>Chaves de grifo n° 08;</t>
  </si>
  <si>
    <t>Chaves de grifo n° 10;</t>
  </si>
  <si>
    <t>Chaves de grifo n° 14;</t>
  </si>
  <si>
    <t>Chaves de grifo n° 18;</t>
  </si>
  <si>
    <t>Chaves de grifo n° 24;</t>
  </si>
  <si>
    <t>Chaves de grifo n° 36;</t>
  </si>
  <si>
    <t>Cinto Segurança modelo Paraquedista Ajuste total;</t>
  </si>
  <si>
    <t>Desempenadeira de aço para colocação de azuleijo</t>
  </si>
  <si>
    <t>Desempenadeira de aço para massa corrida</t>
  </si>
  <si>
    <t>Desempenadeira lisa plastica 18 x 30cm</t>
  </si>
  <si>
    <t>Jogo de Soquetes Sextavados 1/2 Profissional (Aço cromo vanádio temperado-Encaixe de 1/2" 20 Soquetes Sextavados (mm): 10 à 32mm) - 21 peças</t>
  </si>
  <si>
    <t>Desentupidor de esgotos, pias, ralos e banheiras</t>
  </si>
  <si>
    <t>Alicate amperímetro, material plástico, tipo digital, corrente 0.1 a 1.000, voltagem 1 va 750 ac/dc 1 a 1000, alimentação bateria, voltagem bateria 9, resistência 2, aplicação eletricidade</t>
  </si>
  <si>
    <t>Furadeira, tipo impacto, potência 900, tamanho mandril 5/8, tensão alimentação 220, características adicionais 2 velocidades, embreagem de segurança, comutador</t>
  </si>
  <si>
    <t>Lixadeira: potência 1.600 watts, rotação por min. 4.000 rpm, diâmetro do furo m14, diâmetro do disco 180mm (7´), capacidades: disco de borracha 7´ (180mm) - disco de lixa 7´ (180mm), eixo m14, massa (peso) 3.4 kg,acompanha: disco de borracha, punho, chave de pino, de primeira linha.</t>
  </si>
  <si>
    <t>Nível magnético de alumínio anodizado 14" com duas ampolas (0º e 90º)</t>
  </si>
  <si>
    <t>Multímetro, tensão 1.000, tensão ac 750, corrente dc 20, corrente ac 20, resistência 20, características adicionais display digital/capacitância 4n/teste de diodo/</t>
  </si>
  <si>
    <t>Pistola aplicadora, tensão alimentação 110/220, potência 250, aplicação colagem, características adicionais profissional, compatível bastão silicone</t>
  </si>
  <si>
    <t>Plaina elétrica potência 750, largura corte 82, profundidade corte 3, peso 7,90, rotação 16.000, voltagem 110/220, acessórios conjunto afiador e calibrador, aplicação plainar madeira, características adicionais punho formato d</t>
  </si>
  <si>
    <t>Serra mármore, potência 1.300, diâmetro disco 110, diâmetro furo disco 20, voltagem 127, características adicionais alto torque, rolamento vedado contra pó, disco dia</t>
  </si>
  <si>
    <t>Serra tico-tico manual, rotação 3.000, tensão 220/230, características adicionais com sistema pendular, potência 650, capacidade corte madeira 100, capacidade corte alumínio 20, capacidade corte aço 10</t>
  </si>
  <si>
    <t>Parafusadeira</t>
  </si>
  <si>
    <t>Ferro de solda 60W</t>
  </si>
  <si>
    <t>Bancada de trabalho dobrável e portátil com morsa adaptada</t>
  </si>
  <si>
    <t>Furadeira SDS Plus de alto impacto para concreto</t>
  </si>
  <si>
    <t>Câmera Termográfica Profissional Digital para Serviços de Termografia em Quadros Elétricos;</t>
  </si>
  <si>
    <t>105953 / 43451</t>
  </si>
  <si>
    <t>Qtde. Estimada</t>
  </si>
  <si>
    <t>INSUMOS</t>
  </si>
  <si>
    <t>Insumos</t>
  </si>
  <si>
    <t>Ferramentas</t>
  </si>
  <si>
    <t>Equipamentos</t>
  </si>
  <si>
    <t>QUANTIDADE DE POSTOS</t>
  </si>
  <si>
    <r>
      <t xml:space="preserve">VALOR </t>
    </r>
    <r>
      <rPr>
        <u/>
        <sz val="10"/>
        <rFont val="Calibri"/>
        <family val="2"/>
        <scheme val="minor"/>
      </rPr>
      <t>MENSAL</t>
    </r>
    <r>
      <rPr>
        <sz val="10"/>
        <rFont val="Calibri"/>
        <family val="2"/>
        <scheme val="minor"/>
      </rPr>
      <t xml:space="preserve"> DOS INSUMOS A SEREM UTILIZADOS NA EXECUÇÃO CONTRATUAL</t>
    </r>
  </si>
  <si>
    <r>
      <t xml:space="preserve">VALOR </t>
    </r>
    <r>
      <rPr>
        <u/>
        <sz val="10"/>
        <rFont val="Calibri"/>
        <family val="2"/>
        <scheme val="minor"/>
      </rPr>
      <t>MENSAL</t>
    </r>
    <r>
      <rPr>
        <sz val="10"/>
        <rFont val="Calibri"/>
        <family val="2"/>
        <scheme val="minor"/>
      </rPr>
      <t xml:space="preserve"> DAS FERRAMENTAS A SEREM UTILIZADAS NA EXECUÇÃO CONTRATUAL</t>
    </r>
  </si>
  <si>
    <r>
      <t xml:space="preserve">VALOR </t>
    </r>
    <r>
      <rPr>
        <b/>
        <u/>
        <sz val="10"/>
        <rFont val="Calibri"/>
        <family val="2"/>
        <scheme val="minor"/>
      </rPr>
      <t>MENSAL</t>
    </r>
    <r>
      <rPr>
        <b/>
        <sz val="10"/>
        <rFont val="Calibri"/>
        <family val="2"/>
        <scheme val="minor"/>
      </rPr>
      <t xml:space="preserve"> DOS INSUMOS POR FUNCIONÁRIO</t>
    </r>
  </si>
  <si>
    <r>
      <t xml:space="preserve">VALOR </t>
    </r>
    <r>
      <rPr>
        <b/>
        <u/>
        <sz val="10"/>
        <rFont val="Calibri"/>
        <family val="2"/>
        <scheme val="minor"/>
      </rPr>
      <t>MENSAL</t>
    </r>
    <r>
      <rPr>
        <b/>
        <sz val="10"/>
        <rFont val="Calibri"/>
        <family val="2"/>
        <scheme val="minor"/>
      </rPr>
      <t xml:space="preserve"> DAS FERRAMENTAS POR FUNCIONÁRIO</t>
    </r>
  </si>
  <si>
    <t>SINTRACON-SP</t>
  </si>
  <si>
    <t>CLÁUSULA TERCEIRA</t>
  </si>
  <si>
    <t>Oficial de Manutenção Predial - 44 horas semanais - Diurno</t>
  </si>
  <si>
    <t>5143-25</t>
  </si>
  <si>
    <t>QUADRO RESUMO DOS SERVIÇOS</t>
  </si>
  <si>
    <t>ITEM DO EDITAL</t>
  </si>
  <si>
    <t>TIPO DE SERVIÇO (A)</t>
  </si>
  <si>
    <t>VALOR PROPOSTO POR EMPREGADO (B)</t>
  </si>
  <si>
    <t>QUANTIDADE DE EMPREGADOS POR POSTO ( C )</t>
  </si>
  <si>
    <t>VALOR PROPOSTO POR POSTO (D) = (B X C)</t>
  </si>
  <si>
    <t>Eletricista Predial</t>
  </si>
  <si>
    <t>Oficial de Manutenção Predial</t>
  </si>
  <si>
    <t>MATERIAIS SOB DEMANDA</t>
  </si>
  <si>
    <t>ÚNICO</t>
  </si>
  <si>
    <t>Eletricista Predial - CBO 9511-05</t>
  </si>
  <si>
    <t>Oficial de Manutenção - CBO 5143-25</t>
  </si>
  <si>
    <t>Encarregado Geral - CBO 7102-05</t>
  </si>
  <si>
    <t>Engenheiro Civil - CBO 2142-05</t>
  </si>
  <si>
    <t>Jardineiro - CBO 6220-20</t>
  </si>
  <si>
    <t>Materiais de consumo a serem fornecidos para composição do estoque mínimo necessário à manutenção preventiva e corretiva (sob demanda)</t>
  </si>
  <si>
    <t>Recarga extintores (todas as unidades)</t>
  </si>
  <si>
    <t>GRUPO</t>
  </si>
  <si>
    <t>CATSER</t>
  </si>
  <si>
    <t>ITEM</t>
  </si>
  <si>
    <t>DESCRIÇÃO</t>
  </si>
  <si>
    <t>VALOR MENSAL</t>
  </si>
  <si>
    <t>CBO</t>
  </si>
  <si>
    <t>Araçatuba</t>
  </si>
  <si>
    <t>Oficial de manutenção</t>
  </si>
  <si>
    <t>Engenheiro Civil</t>
  </si>
  <si>
    <t>Campinas</t>
  </si>
  <si>
    <t>Presidente Prudente</t>
  </si>
  <si>
    <t>São José do Rio Preto</t>
  </si>
  <si>
    <t>Encarregado Geral</t>
  </si>
  <si>
    <t>Manutenção Ar Condicionado</t>
  </si>
  <si>
    <t>Mecânico manutenção, instalação de aparelho climatização/refrigeração</t>
  </si>
  <si>
    <t>Guarulhos</t>
  </si>
  <si>
    <t>Osasco</t>
  </si>
  <si>
    <t>Santo André</t>
  </si>
  <si>
    <t>Jardinagem</t>
  </si>
  <si>
    <t>Jardineiro</t>
  </si>
  <si>
    <t>SERVIÇOS</t>
  </si>
  <si>
    <t>Supervisão</t>
  </si>
  <si>
    <t>Mecânico manutenção, instalação de aparelho climatização/refrigeração - CBO 9112-05</t>
  </si>
  <si>
    <t>QUADRO RESUMO DA MÃO DE OBRA RESIDENTE</t>
  </si>
  <si>
    <t>CARGO</t>
  </si>
  <si>
    <t>VALOR DA HORA</t>
  </si>
  <si>
    <t>VALOR TOTAL ANUAL</t>
  </si>
  <si>
    <t>Corretivas e preventivas</t>
  </si>
  <si>
    <t>7102-05</t>
  </si>
  <si>
    <t>Visitas Técnicas</t>
  </si>
  <si>
    <t>2142-05</t>
  </si>
  <si>
    <t>9112-05</t>
  </si>
  <si>
    <t>6220-20</t>
  </si>
  <si>
    <t>TOTAL GERAL</t>
  </si>
  <si>
    <t xml:space="preserve">FORNECIMENTO DE MÃO DE OBRA SEM DEDICAÇÃO EXCLUSIVA - MANUTENÇÃO PREVENTIVA E CORRETIVA </t>
  </si>
  <si>
    <t>Santo Amaro</t>
  </si>
  <si>
    <t>Santos</t>
  </si>
  <si>
    <t>Botucatu</t>
  </si>
  <si>
    <t>Itapetininga</t>
  </si>
  <si>
    <t>Marília</t>
  </si>
  <si>
    <t>VALOR TOTAL</t>
  </si>
  <si>
    <t>Terra vegetal</t>
  </si>
  <si>
    <t>SUBTOTAL (MÃO DE OBRA)</t>
  </si>
  <si>
    <t>BDI</t>
  </si>
  <si>
    <t>Administração Central</t>
  </si>
  <si>
    <t>Seguros e Garantias</t>
  </si>
  <si>
    <t>Despesas Financeiras</t>
  </si>
  <si>
    <t>Riscos e Imprevistos</t>
  </si>
  <si>
    <t>Lucro Bruto</t>
  </si>
  <si>
    <t>ISS</t>
  </si>
  <si>
    <t>TOTAL DO BDI</t>
  </si>
  <si>
    <t>BDI - BENEFÍCIOS E DESPESAS INDIRETAS SOBRE A MÃO DE OBRA NÃO RESIDENTE</t>
  </si>
  <si>
    <t>OBSERVAÇÃO PARA O LICITANTE: CAMPOS EDITÁVEIS EM AMARELO</t>
  </si>
  <si>
    <t>OBSERVAÇÕES PARA O LICITANTE: CAMPOS EDITÁVEIS EM AMARELO</t>
  </si>
  <si>
    <t>OBSERVAÇÃO PARA O LICITANTE - CAMPOS EDITÁVEIS EM AMARELO</t>
  </si>
  <si>
    <t xml:space="preserve">Observação: </t>
  </si>
  <si>
    <t>Referências: 2º Quartil - Construções de Edifícios - Acórdão 2622/2013 - TCU - Plénário.</t>
  </si>
  <si>
    <t>Referências: 1º Quartil - Materiais - Acórdão 2622/2013 - TCU - Plénário.</t>
  </si>
  <si>
    <r>
      <t xml:space="preserve">VALOR </t>
    </r>
    <r>
      <rPr>
        <b/>
        <u/>
        <sz val="11"/>
        <rFont val="Calibri"/>
        <family val="2"/>
        <scheme val="minor"/>
      </rPr>
      <t>ANUAL</t>
    </r>
    <r>
      <rPr>
        <b/>
        <sz val="11"/>
        <rFont val="Calibri"/>
        <family val="2"/>
        <scheme val="minor"/>
      </rPr>
      <t xml:space="preserve"> TOTAL DOS MATERIAIS A SEREM UTILIZADOS NA EXECUÇÃO CONTRATUAL</t>
    </r>
  </si>
  <si>
    <t>BDI - BENEFÍCIOS E DESPESAS INDIRETAS - MATERIAIS E INSUMOS</t>
  </si>
  <si>
    <r>
      <t xml:space="preserve">VALOR </t>
    </r>
    <r>
      <rPr>
        <b/>
        <u/>
        <sz val="10"/>
        <rFont val="Calibri"/>
        <family val="2"/>
        <scheme val="minor"/>
      </rPr>
      <t>ANUAL</t>
    </r>
    <r>
      <rPr>
        <b/>
        <sz val="10"/>
        <rFont val="Calibri"/>
        <family val="2"/>
        <scheme val="minor"/>
      </rPr>
      <t xml:space="preserve"> DOS INSUMOS A SEREM UTILIZADOS NA EXECUÇÃO CONTRATUAL </t>
    </r>
  </si>
  <si>
    <r>
      <t xml:space="preserve">VALOR </t>
    </r>
    <r>
      <rPr>
        <b/>
        <u/>
        <sz val="10"/>
        <rFont val="Calibri"/>
        <family val="2"/>
        <scheme val="minor"/>
      </rPr>
      <t>ANUAL</t>
    </r>
    <r>
      <rPr>
        <b/>
        <sz val="10"/>
        <rFont val="Calibri"/>
        <family val="2"/>
        <scheme val="minor"/>
      </rPr>
      <t xml:space="preserve"> DAS FERRAMENTAS A SEREM UTILIZADAS NA EXECUÇÃO CONTRATUAL </t>
    </r>
  </si>
  <si>
    <r>
      <t xml:space="preserve">VALOR </t>
    </r>
    <r>
      <rPr>
        <b/>
        <u/>
        <sz val="11"/>
        <rFont val="Calibri"/>
        <family val="2"/>
        <scheme val="minor"/>
      </rPr>
      <t xml:space="preserve">ANUAL </t>
    </r>
    <r>
      <rPr>
        <b/>
        <sz val="11"/>
        <rFont val="Calibri"/>
        <family val="2"/>
        <scheme val="minor"/>
      </rPr>
      <t>SUBTOTAL DOS MATERIAIS A SEREM UTILIZADOS NA EXECUÇÃO CONTRATUAL</t>
    </r>
  </si>
  <si>
    <t>Percentual de desconto</t>
  </si>
  <si>
    <t>SUBITEM</t>
  </si>
  <si>
    <t>1.1</t>
  </si>
  <si>
    <t>1.2</t>
  </si>
  <si>
    <t>Subtotal</t>
  </si>
  <si>
    <t>2.1</t>
  </si>
  <si>
    <t>3.1</t>
  </si>
  <si>
    <t>3.2</t>
  </si>
  <si>
    <t>4.1</t>
  </si>
  <si>
    <t>5.1.</t>
  </si>
  <si>
    <t>5.2</t>
  </si>
  <si>
    <t>5.3</t>
  </si>
  <si>
    <t>4.3</t>
  </si>
  <si>
    <t>2.2</t>
  </si>
  <si>
    <t>Total</t>
  </si>
  <si>
    <t>Reserva de valor</t>
  </si>
  <si>
    <t>Valor Unitário Total</t>
  </si>
  <si>
    <t>PERCENTUAL DE DESCONTO SOBRE ITEM 3.1</t>
  </si>
  <si>
    <t>PERCENTUAL DE DESCONTO SOBRE ITEM 5.2</t>
  </si>
  <si>
    <t>PERCENTUAL DE DESCONTO SOBRE ITEM 6.2</t>
  </si>
  <si>
    <t>Fornecimento de mão de obra com dedicação exclusiva, com previsão de insumos e ferramentas</t>
  </si>
  <si>
    <t>Recargas e/ou testes em extintores e mangueiras de incêndios</t>
  </si>
  <si>
    <t>Anotação de Responsabilidade Técnica - Para emissão de laudos e relatórios</t>
  </si>
  <si>
    <t>INSPEÇÃO DE EXTINTORES COM RECARGA E TESTE HIDROSTÁTICO</t>
  </si>
  <si>
    <t>Extintor</t>
  </si>
  <si>
    <t>Quantidade</t>
  </si>
  <si>
    <t>Valor unitário Recarga</t>
  </si>
  <si>
    <t>Valor unitário teste hidrostático</t>
  </si>
  <si>
    <t>Valor total (recarga + teste)</t>
  </si>
  <si>
    <t>Recarga</t>
  </si>
  <si>
    <t>Teste</t>
  </si>
  <si>
    <t>Sede – São Paulo</t>
  </si>
  <si>
    <t>Água 10L</t>
  </si>
  <si>
    <t>CO2 6KG</t>
  </si>
  <si>
    <t>PQS BC 6KG</t>
  </si>
  <si>
    <t>BC 20KG</t>
  </si>
  <si>
    <t>Coren Educação – São Paulo</t>
  </si>
  <si>
    <t>PQS ABC 6KG</t>
  </si>
  <si>
    <t>PQS BC 4KG</t>
  </si>
  <si>
    <t>MANGUEIRAS PARA MANUTENÇÃO E TESTE</t>
  </si>
  <si>
    <t>Comprimento (m)</t>
  </si>
  <si>
    <t>Valor total</t>
  </si>
  <si>
    <t>Edifício Sede – São Paulo</t>
  </si>
  <si>
    <t>Coren-SP Educação</t>
  </si>
  <si>
    <t>VALOR TOTAL ANUAL RECARGA + TESTES EM MANGUEIRAS E EXTINTORES</t>
  </si>
  <si>
    <t>O BDI PARA ESTA PLANILHA DEVERÁ SER PREENCHIDO NA PLANILHA "BDI MOB NÃO RESIDENTE"</t>
  </si>
  <si>
    <t>O BDI PARA ESTA PLANILHA DEVERÁ SER PREENCHIDO NA PLANILHA "BDI MATERIAIS"</t>
  </si>
  <si>
    <t>JUNHO/2021</t>
  </si>
  <si>
    <t xml:space="preserve">Fornecimento de materiais de consumo, peças, outros insumos </t>
  </si>
  <si>
    <r>
      <t xml:space="preserve">ANEXO </t>
    </r>
    <r>
      <rPr>
        <b/>
        <sz val="10"/>
        <rFont val="Calibri Light"/>
        <family val="2"/>
      </rPr>
      <t>VIII - PLANILHA DE CUSTOS E FORMAÇÃO DE PREÇOS</t>
    </r>
  </si>
  <si>
    <r>
      <t>ANEXO V</t>
    </r>
    <r>
      <rPr>
        <b/>
        <sz val="10"/>
        <rFont val="Calibri Light"/>
        <family val="2"/>
      </rPr>
      <t>III - PLANILHA DE CUSTOS E FORMAÇÃO DE PREÇOS</t>
    </r>
  </si>
  <si>
    <t>VALOR TOTAL ANUAL ESTIMADO</t>
  </si>
  <si>
    <t>VALOR ANUAL ESTIMADO</t>
  </si>
  <si>
    <t xml:space="preserve">ANEXO VIII - PLANILHA DE CUSTOS E FORMAÇÃO DE PREÇOS </t>
  </si>
  <si>
    <t xml:space="preserve">Interruptor bipolar simples de 1 módulo. Cor branca. 10 A, 250 V, 04 bornes para conexão elétrica, adequado para reposição em espelhos modelo 612005 Pialplus/Pial Legrand, padrão de espelhos utilizado. </t>
  </si>
  <si>
    <t>Pacote com 100</t>
  </si>
  <si>
    <t>QUANTIDADE ESTIMADA DE HORAS/ANO</t>
  </si>
  <si>
    <t>Extensão de cabo PP 2x2,5mm2 com mínimo de 20m;</t>
  </si>
  <si>
    <t>Extensão de cabo PP 2x2,5mm2 com mínimo de 40m;</t>
  </si>
  <si>
    <t>DIÁRIAS</t>
  </si>
  <si>
    <t>VALOR DA DIÁRIA</t>
  </si>
  <si>
    <t>Fornecimento de mão de obra SEM dedicação exclusiva, equipe volante permanente - manutenção preventiva e corretiva - com previsão de EPIs, insumos e ferramentas (Oficial de Manutenção, Encarregado Geral, Engenheiro Civil, Mecânico de Refrigeração e Jardineiro)</t>
  </si>
  <si>
    <t>Fornecimento de mão de obra SEM dedicação exclusiva (eventual) - profissionais diversos, serviços e reparos imprevisíveis – Sob demanda (RESERVA ANUAL FIXA)</t>
  </si>
  <si>
    <t>Fornecimento de materiais e peças de reposição para execução dos serviços de manutenção predial preditiva ou corretiva e manutenção de equipamentos – Sob demanda</t>
  </si>
  <si>
    <t>Total Mensal</t>
  </si>
  <si>
    <t xml:space="preserve">VALOR MENSAL DOS EQUIPAMENTOS A SEREM UTILIZADOS NA EXECUÇÃO CONTRATUAL </t>
  </si>
  <si>
    <t>VALOR DOS EQUIPAMENTOS POR FUNCIONÁRIO</t>
  </si>
  <si>
    <r>
      <t>Bucha fly para drywall n</t>
    </r>
    <r>
      <rPr>
        <vertAlign val="superscript"/>
        <sz val="11"/>
        <color theme="1"/>
        <rFont val="Calibri"/>
        <family val="2"/>
        <scheme val="minor"/>
      </rPr>
      <t>o</t>
    </r>
    <r>
      <rPr>
        <sz val="11"/>
        <color indexed="8"/>
        <rFont val="Calibri"/>
        <family val="2"/>
      </rPr>
      <t xml:space="preserve"> 2</t>
    </r>
  </si>
  <si>
    <r>
      <t>Bucha fly para drywall n</t>
    </r>
    <r>
      <rPr>
        <vertAlign val="superscript"/>
        <sz val="11"/>
        <color theme="1"/>
        <rFont val="Calibri"/>
        <family val="2"/>
        <scheme val="minor"/>
      </rPr>
      <t>o</t>
    </r>
    <r>
      <rPr>
        <sz val="11"/>
        <color indexed="8"/>
        <rFont val="Calibri"/>
        <family val="2"/>
      </rPr>
      <t xml:space="preserve"> 3</t>
    </r>
    <r>
      <rPr>
        <sz val="11"/>
        <color indexed="8"/>
        <rFont val="Calibri"/>
        <family val="2"/>
      </rPr>
      <t/>
    </r>
  </si>
  <si>
    <r>
      <t>Bucha fly para drywall n</t>
    </r>
    <r>
      <rPr>
        <vertAlign val="superscript"/>
        <sz val="11"/>
        <color theme="1"/>
        <rFont val="Calibri"/>
        <family val="2"/>
        <scheme val="minor"/>
      </rPr>
      <t>o</t>
    </r>
    <r>
      <rPr>
        <sz val="11"/>
        <color indexed="8"/>
        <rFont val="Calibri"/>
        <family val="2"/>
      </rPr>
      <t xml:space="preserve"> 4</t>
    </r>
    <r>
      <rPr>
        <sz val="11"/>
        <color indexed="8"/>
        <rFont val="Calibri"/>
        <family val="2"/>
      </rPr>
      <t/>
    </r>
  </si>
  <si>
    <t>Parafuso  cabeça chata com bucha 6</t>
  </si>
  <si>
    <t>Parafuso  cabeça chata com bucha 8</t>
  </si>
  <si>
    <t>Parafuso cabeça chata com bucha 10</t>
  </si>
  <si>
    <t>Parafuso rosca soberba zincado cabeça chata fenda simples 3,5 x 25 MM (1")</t>
  </si>
  <si>
    <t>Parafuso aço zincado com rosca soberba, cabeça chata e fenda simples, diâmetro 4,2 MM, comprimento * 32 * mm</t>
  </si>
  <si>
    <t>Parafuso rosca soberba zincado cabeça chata fenda simples 5,5 x 65 mm (2.1/2')</t>
  </si>
  <si>
    <t>Submódulo 2.2 - Apenas o FGTS</t>
  </si>
  <si>
    <t>Subtotal: Módulo 1 + Submódulo 2.1 + FGTS (Submódulo 2.2) + Submódulo 2.3</t>
  </si>
  <si>
    <t>Multa sobre o FGTS (40%)</t>
  </si>
  <si>
    <t>TOTAL Submódulo 3.1</t>
  </si>
  <si>
    <t>TOTAL Submódulo 3.2</t>
  </si>
  <si>
    <t>Acrésimo de 3 dias por ano completado</t>
  </si>
  <si>
    <t>Quantidade de anos completados</t>
  </si>
  <si>
    <t>TOTAL Submódulo 3.3</t>
  </si>
  <si>
    <t>Cálculo do número de dias de reposição do profissional ausente para cada evento</t>
  </si>
  <si>
    <t>Evento</t>
  </si>
  <si>
    <t>Incidência anual</t>
  </si>
  <si>
    <t>Duração legal da ausência</t>
  </si>
  <si>
    <t>Proporção de dias afetados</t>
  </si>
  <si>
    <t>Dias de reposição</t>
  </si>
  <si>
    <t>Férias</t>
  </si>
  <si>
    <t>Ausência justificada</t>
  </si>
  <si>
    <t>Acidente de trabalho</t>
  </si>
  <si>
    <t>Afastamento por doença</t>
  </si>
  <si>
    <t>Consulta médica filho</t>
  </si>
  <si>
    <t>Óbitos na família</t>
  </si>
  <si>
    <t>Casamento</t>
  </si>
  <si>
    <t>Doação de sangue</t>
  </si>
  <si>
    <t>Testemunho</t>
  </si>
  <si>
    <t>Paternidade</t>
  </si>
  <si>
    <t>Maternidade</t>
  </si>
  <si>
    <t>Consulta pré-natal</t>
  </si>
  <si>
    <t>Limite de dias para reposição no ano</t>
  </si>
  <si>
    <t>Custo diário de reposição = (Módulo 1 + Módulo 2 + Módulo 3) / 30 dias</t>
  </si>
  <si>
    <t>Custo anual de reposição = Custo diário de reposição x Total de dias para reposição no ano</t>
  </si>
  <si>
    <t>Provisão mensal do custo de reposição</t>
  </si>
  <si>
    <r>
      <t xml:space="preserve">Submódulo 3.3 - Acréscimo sobre o Aviso Prévio a ser considerado como indenizado </t>
    </r>
    <r>
      <rPr>
        <b/>
        <sz val="10"/>
        <color rgb="FFFF0000"/>
        <rFont val="Calibri Light"/>
        <family val="2"/>
        <scheme val="major"/>
      </rPr>
      <t>(Aplicável somente nos casos de prorrogação contratual)</t>
    </r>
  </si>
  <si>
    <t>Placa em chapa de alumínio em ACM (Painel de alumínio 4,0mm produzido em processo de termo fusão, composto por duas lâminas de alumínio 0,50mm de espessura e um núcleo de polietileno de baixa densidade, auto-extinguível)</t>
  </si>
  <si>
    <r>
      <t>m</t>
    </r>
    <r>
      <rPr>
        <vertAlign val="superscript"/>
        <sz val="10"/>
        <rFont val="Calibri"/>
        <family val="2"/>
        <scheme val="minor"/>
      </rPr>
      <t>2</t>
    </r>
  </si>
  <si>
    <t>10 emissões de ART</t>
  </si>
  <si>
    <t>Base de Cálculo: Submódulo 3.1 + Submódulo 3.2</t>
  </si>
  <si>
    <t>Provisionamento para cada ano completado (10%)</t>
  </si>
</sst>
</file>

<file path=xl/styles.xml><?xml version="1.0" encoding="utf-8"?>
<styleSheet xmlns="http://schemas.openxmlformats.org/spreadsheetml/2006/main">
  <numFmts count="18">
    <numFmt numFmtId="44" formatCode="_-&quot;R$&quot;* #,##0.00_-;\-&quot;R$&quot;* #,##0.00_-;_-&quot;R$&quot;* &quot;-&quot;??_-;_-@_-"/>
    <numFmt numFmtId="43" formatCode="_-* #,##0.00_-;\-* #,##0.00_-;_-* &quot;-&quot;??_-;_-@_-"/>
    <numFmt numFmtId="164" formatCode="_-&quot;R$&quot;\ * #,##0.00_-;\-&quot;R$&quot;\ * #,##0.00_-;_-&quot;R$&quot;\ * &quot;-&quot;??_-;_-@_-"/>
    <numFmt numFmtId="165" formatCode="&quot;R$ &quot;#,##0.00"/>
    <numFmt numFmtId="166" formatCode="0.000%"/>
    <numFmt numFmtId="167" formatCode="&quot;R$ &quot;#,##0.00;[Red]&quot;-R$ &quot;#,##0.00"/>
    <numFmt numFmtId="168" formatCode="&quot;R$&quot;#,##0.00"/>
    <numFmt numFmtId="169" formatCode="0.0000%"/>
    <numFmt numFmtId="170" formatCode="&quot;R$&quot;\ #,##0.00"/>
    <numFmt numFmtId="171" formatCode="0.000"/>
    <numFmt numFmtId="172" formatCode="0.0000"/>
    <numFmt numFmtId="173" formatCode="&quot; R$ &quot;#,##0.00\ ;&quot; R$ (&quot;#,##0.00\);&quot; R$ -&quot;#\ ;@\ "/>
    <numFmt numFmtId="174" formatCode="#,##0.0000000000_ ;\-#,##0.0000000000\ "/>
    <numFmt numFmtId="175" formatCode="0.0000000000"/>
    <numFmt numFmtId="176" formatCode="_-&quot;R$&quot;\ * #,##0.0000_-;\-&quot;R$&quot;\ * #,##0.0000_-;_-&quot;R$&quot;\ * &quot;-&quot;??_-;_-@_-"/>
    <numFmt numFmtId="177" formatCode="0.00000E+00"/>
    <numFmt numFmtId="178" formatCode="_(* #,##0.00_);_(* \(#,##0.00\);_(* \-??_);_(@_)"/>
    <numFmt numFmtId="179" formatCode="#,##0_ ;\-#,##0\ "/>
  </numFmts>
  <fonts count="71">
    <font>
      <sz val="11"/>
      <color indexed="8"/>
      <name val="Calibri"/>
      <family val="2"/>
    </font>
    <font>
      <sz val="11"/>
      <color theme="1"/>
      <name val="Calibri"/>
      <family val="2"/>
      <scheme val="minor"/>
    </font>
    <font>
      <sz val="11"/>
      <color theme="1"/>
      <name val="Calibri"/>
      <family val="2"/>
      <scheme val="minor"/>
    </font>
    <font>
      <sz val="10"/>
      <name val="Arial"/>
      <family val="2"/>
    </font>
    <font>
      <b/>
      <sz val="9"/>
      <color indexed="81"/>
      <name val="Segoe UI"/>
      <family val="2"/>
    </font>
    <font>
      <b/>
      <sz val="10"/>
      <color indexed="8"/>
      <name val="Calibri Light"/>
      <family val="2"/>
    </font>
    <font>
      <sz val="9"/>
      <color indexed="81"/>
      <name val="Segoe UI"/>
      <family val="2"/>
    </font>
    <font>
      <b/>
      <sz val="10"/>
      <name val="Calibri Light"/>
      <family val="2"/>
    </font>
    <font>
      <b/>
      <u/>
      <sz val="10"/>
      <name val="Calibri Light"/>
      <family val="2"/>
    </font>
    <font>
      <b/>
      <sz val="11"/>
      <color indexed="8"/>
      <name val="Calibri"/>
      <family val="2"/>
    </font>
    <font>
      <sz val="10"/>
      <name val="Calibri Light"/>
      <family val="2"/>
    </font>
    <font>
      <b/>
      <sz val="10"/>
      <color indexed="10"/>
      <name val="Calibri Light"/>
      <family val="2"/>
    </font>
    <font>
      <b/>
      <u/>
      <sz val="11"/>
      <color indexed="8"/>
      <name val="Calibri"/>
      <family val="2"/>
    </font>
    <font>
      <sz val="10"/>
      <name val="Arial"/>
      <family val="2"/>
    </font>
    <font>
      <b/>
      <sz val="10"/>
      <name val="Arial"/>
      <family val="2"/>
    </font>
    <font>
      <b/>
      <sz val="16"/>
      <color indexed="8"/>
      <name val="Calibri"/>
      <family val="2"/>
    </font>
    <font>
      <vertAlign val="superscript"/>
      <sz val="11"/>
      <color indexed="8"/>
      <name val="Calibri"/>
      <family val="2"/>
    </font>
    <font>
      <sz val="8"/>
      <name val="Calibri"/>
      <family val="2"/>
    </font>
    <font>
      <sz val="11"/>
      <color theme="1"/>
      <name val="Calibri"/>
      <family val="2"/>
      <scheme val="minor"/>
    </font>
    <font>
      <sz val="11"/>
      <color rgb="FF000000"/>
      <name val="Arial"/>
      <family val="2"/>
      <charset val="1"/>
    </font>
    <font>
      <sz val="10"/>
      <color rgb="FF000000"/>
      <name val="Arial"/>
      <family val="2"/>
      <charset val="1"/>
    </font>
    <font>
      <sz val="11"/>
      <color indexed="8"/>
      <name val="Calibri Light"/>
      <family val="2"/>
      <scheme val="major"/>
    </font>
    <font>
      <sz val="11"/>
      <color theme="0"/>
      <name val="Calibri Light"/>
      <family val="2"/>
      <scheme val="major"/>
    </font>
    <font>
      <sz val="10"/>
      <color indexed="8"/>
      <name val="Calibri Light"/>
      <family val="2"/>
      <scheme val="major"/>
    </font>
    <font>
      <b/>
      <sz val="10"/>
      <color indexed="8"/>
      <name val="Calibri Light"/>
      <family val="2"/>
      <scheme val="major"/>
    </font>
    <font>
      <b/>
      <sz val="10"/>
      <color indexed="9"/>
      <name val="Calibri Light"/>
      <family val="2"/>
      <scheme val="major"/>
    </font>
    <font>
      <sz val="10"/>
      <name val="Calibri Light"/>
      <family val="2"/>
      <scheme val="major"/>
    </font>
    <font>
      <sz val="11"/>
      <name val="Calibri Light"/>
      <family val="2"/>
      <scheme val="major"/>
    </font>
    <font>
      <b/>
      <sz val="11"/>
      <name val="Calibri Light"/>
      <family val="2"/>
      <scheme val="major"/>
    </font>
    <font>
      <b/>
      <sz val="10"/>
      <name val="Calibri Light"/>
      <family val="2"/>
      <scheme val="major"/>
    </font>
    <font>
      <sz val="10"/>
      <color rgb="FFFF0000"/>
      <name val="Calibri Light"/>
      <family val="2"/>
      <scheme val="major"/>
    </font>
    <font>
      <sz val="10"/>
      <color theme="1"/>
      <name val="Calibri Light"/>
      <family val="2"/>
      <scheme val="major"/>
    </font>
    <font>
      <sz val="11"/>
      <name val="Calibri"/>
      <family val="2"/>
      <scheme val="minor"/>
    </font>
    <font>
      <sz val="11"/>
      <color theme="0"/>
      <name val="Calibri"/>
      <family val="2"/>
    </font>
    <font>
      <sz val="11"/>
      <color rgb="FFFF0000"/>
      <name val="Calibri"/>
      <family val="2"/>
    </font>
    <font>
      <b/>
      <sz val="9"/>
      <name val="Calibri Light"/>
      <family val="2"/>
      <scheme val="major"/>
    </font>
    <font>
      <sz val="10"/>
      <color rgb="FF000000"/>
      <name val="Calibri Light"/>
      <family val="2"/>
      <scheme val="major"/>
    </font>
    <font>
      <b/>
      <sz val="10"/>
      <color rgb="FFFF0000"/>
      <name val="Calibri Light"/>
      <family val="2"/>
      <scheme val="major"/>
    </font>
    <font>
      <b/>
      <sz val="8"/>
      <name val="Calibri Light"/>
      <family val="2"/>
      <scheme val="major"/>
    </font>
    <font>
      <b/>
      <sz val="11"/>
      <color theme="1"/>
      <name val="Calibri"/>
      <family val="2"/>
      <scheme val="minor"/>
    </font>
    <font>
      <b/>
      <sz val="11"/>
      <name val="Calibri"/>
      <family val="2"/>
      <scheme val="minor"/>
    </font>
    <font>
      <b/>
      <sz val="12"/>
      <color indexed="8"/>
      <name val="Calibri"/>
      <family val="2"/>
    </font>
    <font>
      <b/>
      <sz val="9"/>
      <color indexed="81"/>
      <name val="Tahoma"/>
      <family val="2"/>
    </font>
    <font>
      <sz val="9"/>
      <color indexed="81"/>
      <name val="Tahoma"/>
      <family val="2"/>
    </font>
    <font>
      <vertAlign val="superscript"/>
      <sz val="11"/>
      <name val="Calibri"/>
      <family val="2"/>
      <scheme val="minor"/>
    </font>
    <font>
      <b/>
      <u/>
      <sz val="11"/>
      <name val="Calibri"/>
      <family val="2"/>
      <scheme val="minor"/>
    </font>
    <font>
      <b/>
      <sz val="10"/>
      <name val="Calibri"/>
      <family val="2"/>
      <scheme val="minor"/>
    </font>
    <font>
      <sz val="10"/>
      <name val="Calibri"/>
      <family val="2"/>
      <scheme val="minor"/>
    </font>
    <font>
      <vertAlign val="superscript"/>
      <sz val="10"/>
      <name val="Calibri"/>
      <family val="2"/>
      <scheme val="minor"/>
    </font>
    <font>
      <sz val="10"/>
      <color theme="1"/>
      <name val="Calibri"/>
      <family val="2"/>
      <scheme val="minor"/>
    </font>
    <font>
      <b/>
      <u/>
      <sz val="10"/>
      <name val="Calibri"/>
      <family val="2"/>
      <scheme val="minor"/>
    </font>
    <font>
      <b/>
      <sz val="12"/>
      <color theme="1"/>
      <name val="Calibri"/>
      <family val="2"/>
      <scheme val="minor"/>
    </font>
    <font>
      <sz val="10"/>
      <color indexed="8"/>
      <name val="Calibri"/>
      <family val="2"/>
    </font>
    <font>
      <u/>
      <sz val="10"/>
      <name val="Calibri"/>
      <family val="2"/>
      <scheme val="minor"/>
    </font>
    <font>
      <b/>
      <sz val="10"/>
      <color theme="1"/>
      <name val="Calibri"/>
      <family val="2"/>
      <scheme val="minor"/>
    </font>
    <font>
      <b/>
      <sz val="11"/>
      <color indexed="8"/>
      <name val="Calibri Light"/>
      <family val="2"/>
      <scheme val="major"/>
    </font>
    <font>
      <b/>
      <sz val="11"/>
      <color rgb="FFFF0000"/>
      <name val="Calibri"/>
      <family val="2"/>
    </font>
    <font>
      <b/>
      <sz val="10"/>
      <color indexed="8"/>
      <name val="Calibri"/>
      <family val="2"/>
    </font>
    <font>
      <b/>
      <sz val="11"/>
      <color rgb="FFFF0000"/>
      <name val="Calibri"/>
      <family val="2"/>
      <scheme val="minor"/>
    </font>
    <font>
      <b/>
      <sz val="11"/>
      <color rgb="FFFF0000"/>
      <name val="Calibri Light"/>
      <family val="2"/>
      <scheme val="major"/>
    </font>
    <font>
      <i/>
      <sz val="10"/>
      <color indexed="8"/>
      <name val="Calibri Light"/>
      <family val="2"/>
      <scheme val="major"/>
    </font>
    <font>
      <sz val="11"/>
      <color indexed="8"/>
      <name val="Calibri"/>
      <family val="2"/>
    </font>
    <font>
      <b/>
      <sz val="10"/>
      <color rgb="FF000000"/>
      <name val="Calibri"/>
      <family val="2"/>
      <scheme val="minor"/>
    </font>
    <font>
      <sz val="10"/>
      <color rgb="FF000000"/>
      <name val="Calibri"/>
      <family val="2"/>
      <scheme val="minor"/>
    </font>
    <font>
      <sz val="11"/>
      <color rgb="FF000000"/>
      <name val="Calibri"/>
      <family val="2"/>
      <scheme val="minor"/>
    </font>
    <font>
      <b/>
      <sz val="9"/>
      <color theme="1"/>
      <name val="Calibri  "/>
    </font>
    <font>
      <sz val="9"/>
      <color theme="1"/>
      <name val="Calibri  "/>
    </font>
    <font>
      <sz val="9"/>
      <name val="Calibri  "/>
    </font>
    <font>
      <b/>
      <sz val="9"/>
      <name val="Calibri  "/>
    </font>
    <font>
      <b/>
      <sz val="9"/>
      <color rgb="FFFF0000"/>
      <name val="Calibri  "/>
    </font>
    <font>
      <vertAlign val="superscript"/>
      <sz val="11"/>
      <color theme="1"/>
      <name val="Calibri"/>
      <family val="2"/>
      <scheme val="minor"/>
    </font>
  </fonts>
  <fills count="31">
    <fill>
      <patternFill patternType="none"/>
    </fill>
    <fill>
      <patternFill patternType="gray125"/>
    </fill>
    <fill>
      <patternFill patternType="solid">
        <fgColor indexed="9"/>
        <bgColor indexed="26"/>
      </patternFill>
    </fill>
    <fill>
      <patternFill patternType="solid">
        <fgColor indexed="27"/>
        <bgColor indexed="41"/>
      </patternFill>
    </fill>
    <fill>
      <patternFill patternType="solid">
        <fgColor indexed="42"/>
        <bgColor indexed="31"/>
      </patternFill>
    </fill>
    <fill>
      <patternFill patternType="solid">
        <fgColor indexed="31"/>
        <bgColor indexed="42"/>
      </patternFill>
    </fill>
    <fill>
      <patternFill patternType="solid">
        <fgColor indexed="12"/>
        <bgColor indexed="39"/>
      </patternFill>
    </fill>
    <fill>
      <patternFill patternType="solid">
        <fgColor indexed="23"/>
        <bgColor indexed="19"/>
      </patternFill>
    </fill>
    <fill>
      <patternFill patternType="solid">
        <fgColor indexed="26"/>
        <bgColor indexed="43"/>
      </patternFill>
    </fill>
    <fill>
      <patternFill patternType="solid">
        <fgColor theme="0"/>
        <bgColor indexed="64"/>
      </patternFill>
    </fill>
    <fill>
      <patternFill patternType="solid">
        <fgColor theme="9" tint="0.79998168889431442"/>
        <bgColor indexed="58"/>
      </patternFill>
    </fill>
    <fill>
      <patternFill patternType="solid">
        <fgColor theme="9" tint="0.59999389629810485"/>
        <bgColor indexed="64"/>
      </patternFill>
    </fill>
    <fill>
      <patternFill patternType="solid">
        <fgColor rgb="FFFFFF00"/>
        <bgColor indexed="64"/>
      </patternFill>
    </fill>
    <fill>
      <patternFill patternType="solid">
        <fgColor theme="0"/>
        <bgColor indexed="41"/>
      </patternFill>
    </fill>
    <fill>
      <patternFill patternType="solid">
        <fgColor theme="9" tint="0.59999389629810485"/>
        <bgColor indexed="42"/>
      </patternFill>
    </fill>
    <fill>
      <patternFill patternType="solid">
        <fgColor theme="0"/>
        <bgColor indexed="31"/>
      </patternFill>
    </fill>
    <fill>
      <patternFill patternType="solid">
        <fgColor theme="9" tint="0.79998168889431442"/>
        <bgColor indexed="8"/>
      </patternFill>
    </fill>
    <fill>
      <patternFill patternType="solid">
        <fgColor theme="9" tint="0.79998168889431442"/>
        <bgColor indexed="34"/>
      </patternFill>
    </fill>
    <fill>
      <patternFill patternType="solid">
        <fgColor theme="9" tint="0.59999389629810485"/>
        <bgColor indexed="34"/>
      </patternFill>
    </fill>
    <fill>
      <patternFill patternType="solid">
        <fgColor theme="9" tint="0.59999389629810485"/>
        <bgColor indexed="43"/>
      </patternFill>
    </fill>
    <fill>
      <patternFill patternType="solid">
        <fgColor theme="4" tint="0.59999389629810485"/>
        <bgColor indexed="64"/>
      </patternFill>
    </fill>
    <fill>
      <patternFill patternType="solid">
        <fgColor theme="0" tint="-0.249977111117893"/>
        <bgColor indexed="64"/>
      </patternFill>
    </fill>
    <fill>
      <patternFill patternType="solid">
        <fgColor theme="0" tint="-0.14999847407452621"/>
        <bgColor indexed="31"/>
      </patternFill>
    </fill>
    <fill>
      <patternFill patternType="solid">
        <fgColor theme="9" tint="0.79998168889431442"/>
        <bgColor indexed="31"/>
      </patternFill>
    </fill>
    <fill>
      <patternFill patternType="solid">
        <fgColor theme="9" tint="0.79998168889431442"/>
        <bgColor indexed="64"/>
      </patternFill>
    </fill>
    <fill>
      <patternFill patternType="solid">
        <fgColor rgb="FFD7D7D7"/>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41"/>
      </patternFill>
    </fill>
    <fill>
      <patternFill patternType="solid">
        <fgColor rgb="FFFFFF00"/>
        <bgColor indexed="42"/>
      </patternFill>
    </fill>
    <fill>
      <patternFill patternType="solid">
        <fgColor theme="0"/>
        <bgColor indexed="42"/>
      </patternFill>
    </fill>
  </fills>
  <borders count="27">
    <border>
      <left/>
      <right/>
      <top/>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bottom style="thin">
        <color indexed="64"/>
      </bottom>
      <diagonal/>
    </border>
    <border>
      <left/>
      <right style="thin">
        <color indexed="64"/>
      </right>
      <top/>
      <bottom style="thin">
        <color indexed="64"/>
      </bottom>
      <diagonal/>
    </border>
    <border>
      <left style="hair">
        <color indexed="8"/>
      </left>
      <right style="hair">
        <color indexed="8"/>
      </right>
      <top/>
      <bottom/>
      <diagonal/>
    </border>
    <border>
      <left/>
      <right style="hair">
        <color indexed="8"/>
      </right>
      <top/>
      <bottom/>
      <diagonal/>
    </border>
    <border>
      <left style="hair">
        <color indexed="8"/>
      </left>
      <right/>
      <top/>
      <bottom/>
      <diagonal/>
    </border>
    <border>
      <left style="thin">
        <color indexed="8"/>
      </left>
      <right style="hair">
        <color indexed="8"/>
      </right>
      <top style="thin">
        <color indexed="8"/>
      </top>
      <bottom style="thin">
        <color indexed="8"/>
      </bottom>
      <diagonal/>
    </border>
    <border>
      <left style="hair">
        <color indexed="8"/>
      </left>
      <right style="hair">
        <color indexed="8"/>
      </right>
      <top style="thin">
        <color indexed="8"/>
      </top>
      <bottom style="thin">
        <color indexed="8"/>
      </bottom>
      <diagonal/>
    </border>
    <border>
      <left style="hair">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9">
    <xf numFmtId="0" fontId="0" fillId="0" borderId="0"/>
    <xf numFmtId="164" fontId="3" fillId="0" borderId="0" applyFill="0" applyBorder="0" applyAlignment="0" applyProtection="0"/>
    <xf numFmtId="44" fontId="18" fillId="0" borderId="0" applyFont="0" applyFill="0" applyBorder="0" applyAlignment="0" applyProtection="0"/>
    <xf numFmtId="0" fontId="19" fillId="0" borderId="0"/>
    <xf numFmtId="0" fontId="20" fillId="0" borderId="0"/>
    <xf numFmtId="0" fontId="18" fillId="0" borderId="0"/>
    <xf numFmtId="9" fontId="3" fillId="0" borderId="0" applyFill="0" applyBorder="0" applyAlignment="0" applyProtection="0"/>
    <xf numFmtId="9" fontId="20" fillId="0" borderId="0" applyBorder="0" applyProtection="0"/>
    <xf numFmtId="173" fontId="20" fillId="0" borderId="0" applyBorder="0" applyProtection="0"/>
    <xf numFmtId="0" fontId="2" fillId="0" borderId="0"/>
    <xf numFmtId="44" fontId="2" fillId="0" borderId="0" applyFont="0" applyFill="0" applyBorder="0" applyAlignment="0" applyProtection="0"/>
    <xf numFmtId="178" fontId="13" fillId="0" borderId="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cellStyleXfs>
  <cellXfs count="690">
    <xf numFmtId="0" fontId="0" fillId="0" borderId="0" xfId="0"/>
    <xf numFmtId="0" fontId="21" fillId="0" borderId="0" xfId="0" applyFont="1"/>
    <xf numFmtId="0" fontId="21" fillId="2" borderId="0" xfId="0" applyFont="1" applyFill="1"/>
    <xf numFmtId="0" fontId="21" fillId="0" borderId="0" xfId="0" applyFont="1" applyAlignment="1">
      <alignment horizontal="center"/>
    </xf>
    <xf numFmtId="0" fontId="22" fillId="0" borderId="0" xfId="0" applyFont="1" applyFill="1" applyAlignment="1">
      <alignment horizontal="center"/>
    </xf>
    <xf numFmtId="0" fontId="21" fillId="9" borderId="0" xfId="0" applyFont="1" applyFill="1"/>
    <xf numFmtId="0" fontId="22" fillId="9" borderId="0" xfId="0" applyFont="1" applyFill="1"/>
    <xf numFmtId="14" fontId="23" fillId="3" borderId="1" xfId="0" applyNumberFormat="1" applyFont="1" applyFill="1" applyBorder="1" applyAlignment="1">
      <alignment horizontal="center"/>
    </xf>
    <xf numFmtId="0" fontId="23" fillId="3" borderId="1" xfId="0" applyFont="1" applyFill="1" applyBorder="1" applyAlignment="1">
      <alignment horizontal="center" vertical="center" wrapText="1"/>
    </xf>
    <xf numFmtId="14" fontId="23" fillId="3" borderId="1" xfId="0" applyNumberFormat="1" applyFont="1" applyFill="1" applyBorder="1" applyAlignment="1">
      <alignment horizontal="center" vertical="center"/>
    </xf>
    <xf numFmtId="1" fontId="23" fillId="3" borderId="1" xfId="0" applyNumberFormat="1" applyFont="1" applyFill="1" applyBorder="1" applyAlignment="1">
      <alignment horizontal="center" vertical="center" wrapText="1"/>
    </xf>
    <xf numFmtId="165" fontId="24" fillId="4" borderId="1" xfId="0" applyNumberFormat="1" applyFont="1" applyFill="1" applyBorder="1" applyAlignment="1">
      <alignment horizontal="center" vertical="center"/>
    </xf>
    <xf numFmtId="165" fontId="24" fillId="5" borderId="1" xfId="0" applyNumberFormat="1" applyFont="1" applyFill="1" applyBorder="1" applyAlignment="1">
      <alignment horizontal="center" vertical="center"/>
    </xf>
    <xf numFmtId="165" fontId="24" fillId="0" borderId="1" xfId="0" applyNumberFormat="1" applyFont="1" applyBorder="1" applyAlignment="1">
      <alignment horizontal="center" vertical="center"/>
    </xf>
    <xf numFmtId="167" fontId="23" fillId="0" borderId="1" xfId="0" applyNumberFormat="1" applyFont="1" applyBorder="1" applyAlignment="1">
      <alignment horizontal="center" vertical="center"/>
    </xf>
    <xf numFmtId="167" fontId="24" fillId="4" borderId="1" xfId="0" applyNumberFormat="1" applyFont="1" applyFill="1" applyBorder="1" applyAlignment="1">
      <alignment horizontal="center" vertical="center"/>
    </xf>
    <xf numFmtId="49" fontId="23" fillId="0" borderId="1" xfId="0" applyNumberFormat="1" applyFont="1" applyBorder="1" applyAlignment="1">
      <alignment horizontal="center" vertical="center"/>
    </xf>
    <xf numFmtId="165" fontId="23" fillId="10" borderId="1" xfId="0" applyNumberFormat="1" applyFont="1" applyFill="1" applyBorder="1" applyAlignment="1">
      <alignment horizontal="center" vertical="center"/>
    </xf>
    <xf numFmtId="165" fontId="25" fillId="6" borderId="1" xfId="0" applyNumberFormat="1" applyFont="1" applyFill="1" applyBorder="1" applyAlignment="1">
      <alignment horizontal="center" vertical="center"/>
    </xf>
    <xf numFmtId="14" fontId="23" fillId="3" borderId="1" xfId="0" applyNumberFormat="1" applyFont="1" applyFill="1" applyBorder="1" applyAlignment="1">
      <alignment horizontal="center" vertical="center" wrapText="1"/>
    </xf>
    <xf numFmtId="0" fontId="26" fillId="0" borderId="1" xfId="0" applyFont="1" applyFill="1" applyBorder="1" applyAlignment="1">
      <alignment horizontal="center" vertical="center"/>
    </xf>
    <xf numFmtId="0" fontId="24" fillId="11" borderId="1" xfId="0" applyFont="1" applyFill="1" applyBorder="1" applyAlignment="1">
      <alignment horizontal="center" vertical="center"/>
    </xf>
    <xf numFmtId="0" fontId="27" fillId="0" borderId="0" xfId="0" applyFont="1" applyFill="1"/>
    <xf numFmtId="171" fontId="28" fillId="12" borderId="2" xfId="0" applyNumberFormat="1" applyFont="1" applyFill="1" applyBorder="1" applyAlignment="1">
      <alignment vertical="center"/>
    </xf>
    <xf numFmtId="171" fontId="28" fillId="12" borderId="3" xfId="0" applyNumberFormat="1" applyFont="1" applyFill="1" applyBorder="1" applyAlignment="1">
      <alignment vertical="center"/>
    </xf>
    <xf numFmtId="171" fontId="28" fillId="12" borderId="4" xfId="0" applyNumberFormat="1" applyFont="1" applyFill="1" applyBorder="1" applyAlignment="1">
      <alignment vertical="center"/>
    </xf>
    <xf numFmtId="172" fontId="27" fillId="0" borderId="0" xfId="0" applyNumberFormat="1" applyFont="1" applyFill="1"/>
    <xf numFmtId="0" fontId="29" fillId="0" borderId="5" xfId="0" applyFont="1" applyFill="1" applyBorder="1" applyAlignment="1">
      <alignment vertical="center" wrapText="1"/>
    </xf>
    <xf numFmtId="0" fontId="29" fillId="0" borderId="0" xfId="0" applyFont="1" applyFill="1" applyBorder="1" applyAlignment="1">
      <alignment vertical="center" wrapText="1"/>
    </xf>
    <xf numFmtId="0" fontId="27" fillId="0" borderId="0" xfId="0" applyFont="1" applyFill="1" applyBorder="1"/>
    <xf numFmtId="4" fontId="27" fillId="0" borderId="0" xfId="0" applyNumberFormat="1" applyFont="1" applyFill="1"/>
    <xf numFmtId="10" fontId="28" fillId="0" borderId="0" xfId="0" applyNumberFormat="1" applyFont="1" applyFill="1"/>
    <xf numFmtId="0" fontId="23" fillId="0" borderId="1" xfId="0" applyFont="1" applyBorder="1" applyAlignment="1">
      <alignment horizontal="center" vertical="center"/>
    </xf>
    <xf numFmtId="168" fontId="23" fillId="3" borderId="1" xfId="0" applyNumberFormat="1" applyFont="1" applyFill="1" applyBorder="1" applyAlignment="1">
      <alignment horizontal="center" vertical="center"/>
    </xf>
    <xf numFmtId="0" fontId="23" fillId="0" borderId="1" xfId="0" applyFont="1" applyFill="1" applyBorder="1" applyAlignment="1">
      <alignment horizontal="center" vertical="center"/>
    </xf>
    <xf numFmtId="165" fontId="23" fillId="0" borderId="1" xfId="0" applyNumberFormat="1" applyFont="1" applyFill="1" applyBorder="1" applyAlignment="1">
      <alignment horizontal="center" vertical="center"/>
    </xf>
    <xf numFmtId="165" fontId="23" fillId="0" borderId="1" xfId="0" applyNumberFormat="1" applyFont="1" applyBorder="1" applyAlignment="1">
      <alignment horizontal="center" vertical="center"/>
    </xf>
    <xf numFmtId="10" fontId="23" fillId="3" borderId="1" xfId="0" applyNumberFormat="1" applyFont="1" applyFill="1" applyBorder="1" applyAlignment="1">
      <alignment horizontal="center" vertical="center"/>
    </xf>
    <xf numFmtId="0" fontId="23" fillId="0" borderId="1" xfId="0" applyFont="1" applyBorder="1" applyAlignment="1">
      <alignment vertical="center"/>
    </xf>
    <xf numFmtId="0" fontId="25" fillId="6" borderId="1" xfId="0" applyFont="1" applyFill="1" applyBorder="1" applyAlignment="1">
      <alignment horizontal="center" vertical="center"/>
    </xf>
    <xf numFmtId="1" fontId="23" fillId="3" borderId="1" xfId="0" applyNumberFormat="1" applyFont="1" applyFill="1" applyBorder="1" applyAlignment="1">
      <alignment horizontal="center" vertical="center"/>
    </xf>
    <xf numFmtId="0" fontId="23" fillId="3" borderId="1" xfId="0" applyFont="1" applyFill="1" applyBorder="1" applyAlignment="1">
      <alignment horizontal="center" vertical="center"/>
    </xf>
    <xf numFmtId="0" fontId="24" fillId="4" borderId="1" xfId="0" applyFont="1" applyFill="1" applyBorder="1" applyAlignment="1">
      <alignment horizontal="center" vertical="center"/>
    </xf>
    <xf numFmtId="0" fontId="23" fillId="2" borderId="1" xfId="0" applyFont="1" applyFill="1" applyBorder="1" applyAlignment="1">
      <alignment horizontal="center" vertical="center"/>
    </xf>
    <xf numFmtId="165" fontId="23" fillId="3" borderId="1" xfId="0" applyNumberFormat="1" applyFont="1" applyFill="1" applyBorder="1" applyAlignment="1">
      <alignment horizontal="center" vertical="center"/>
    </xf>
    <xf numFmtId="165" fontId="30" fillId="3" borderId="1" xfId="0" applyNumberFormat="1" applyFont="1" applyFill="1" applyBorder="1" applyAlignment="1">
      <alignment horizontal="center" vertical="center" wrapText="1"/>
    </xf>
    <xf numFmtId="0" fontId="0" fillId="9" borderId="0" xfId="0" applyFill="1"/>
    <xf numFmtId="0" fontId="0" fillId="0" borderId="6" xfId="0" applyBorder="1"/>
    <xf numFmtId="0" fontId="0" fillId="0" borderId="0" xfId="0" applyAlignment="1">
      <alignment horizontal="center"/>
    </xf>
    <xf numFmtId="0" fontId="9" fillId="0" borderId="6" xfId="0" applyFont="1" applyBorder="1" applyAlignment="1">
      <alignment horizontal="center" vertical="center"/>
    </xf>
    <xf numFmtId="0" fontId="9" fillId="0" borderId="6" xfId="0" applyFont="1" applyBorder="1" applyAlignment="1">
      <alignment horizontal="center" vertical="center" wrapText="1"/>
    </xf>
    <xf numFmtId="0" fontId="0" fillId="0" borderId="6" xfId="0" applyBorder="1" applyAlignment="1">
      <alignment horizontal="left"/>
    </xf>
    <xf numFmtId="170" fontId="0" fillId="0" borderId="6" xfId="0" applyNumberFormat="1" applyBorder="1" applyAlignment="1">
      <alignment horizontal="center"/>
    </xf>
    <xf numFmtId="164" fontId="13" fillId="0" borderId="6" xfId="1" applyFont="1" applyBorder="1" applyAlignment="1">
      <alignment horizontal="center"/>
    </xf>
    <xf numFmtId="0" fontId="0" fillId="0" borderId="6" xfId="0" applyBorder="1" applyAlignment="1">
      <alignment horizontal="center"/>
    </xf>
    <xf numFmtId="164" fontId="14" fillId="0" borderId="6" xfId="1" applyFont="1" applyBorder="1" applyAlignment="1">
      <alignment horizontal="center"/>
    </xf>
    <xf numFmtId="164" fontId="14" fillId="0" borderId="6" xfId="1" applyFont="1" applyBorder="1"/>
    <xf numFmtId="4" fontId="0" fillId="0" borderId="6" xfId="0" applyNumberFormat="1" applyBorder="1" applyAlignment="1">
      <alignment horizontal="center"/>
    </xf>
    <xf numFmtId="164" fontId="9" fillId="0" borderId="6" xfId="0" applyNumberFormat="1" applyFont="1" applyBorder="1"/>
    <xf numFmtId="0" fontId="9" fillId="9" borderId="6" xfId="0" applyFont="1" applyFill="1" applyBorder="1" applyAlignment="1">
      <alignment horizontal="center" vertical="center" wrapText="1"/>
    </xf>
    <xf numFmtId="0" fontId="0" fillId="9" borderId="6" xfId="0" applyFill="1" applyBorder="1" applyAlignment="1">
      <alignment horizontal="center" vertical="center"/>
    </xf>
    <xf numFmtId="0" fontId="23" fillId="0" borderId="1" xfId="0" applyFont="1" applyBorder="1" applyAlignment="1">
      <alignment horizontal="left" vertical="center"/>
    </xf>
    <xf numFmtId="10" fontId="23" fillId="0" borderId="1" xfId="0" applyNumberFormat="1" applyFont="1" applyFill="1" applyBorder="1" applyAlignment="1">
      <alignment horizontal="center" vertical="center"/>
    </xf>
    <xf numFmtId="9" fontId="23" fillId="0" borderId="1" xfId="0" applyNumberFormat="1" applyFont="1" applyBorder="1" applyAlignment="1">
      <alignment horizontal="center" vertical="center"/>
    </xf>
    <xf numFmtId="0" fontId="9" fillId="0" borderId="7" xfId="0" applyFont="1" applyBorder="1" applyAlignment="1">
      <alignment horizontal="center" vertical="center" wrapText="1"/>
    </xf>
    <xf numFmtId="164" fontId="3" fillId="0" borderId="6" xfId="1" applyBorder="1" applyAlignment="1">
      <alignment horizontal="center" vertical="center"/>
    </xf>
    <xf numFmtId="0" fontId="9" fillId="0" borderId="4" xfId="0" applyFont="1" applyBorder="1"/>
    <xf numFmtId="164" fontId="9" fillId="0" borderId="4" xfId="0" applyNumberFormat="1" applyFont="1" applyBorder="1"/>
    <xf numFmtId="0" fontId="9" fillId="9" borderId="8" xfId="0" applyFont="1" applyFill="1" applyBorder="1" applyAlignment="1">
      <alignment horizontal="center"/>
    </xf>
    <xf numFmtId="0" fontId="9" fillId="9" borderId="0" xfId="0" applyFont="1" applyFill="1" applyBorder="1" applyAlignment="1">
      <alignment horizontal="center"/>
    </xf>
    <xf numFmtId="1" fontId="31" fillId="3" borderId="1" xfId="0" applyNumberFormat="1" applyFont="1" applyFill="1" applyBorder="1" applyAlignment="1">
      <alignment horizontal="center" vertical="center"/>
    </xf>
    <xf numFmtId="0" fontId="27" fillId="9" borderId="0" xfId="0" applyFont="1" applyFill="1"/>
    <xf numFmtId="0" fontId="12" fillId="0" borderId="0" xfId="0" applyFont="1" applyAlignment="1">
      <alignment horizontal="center"/>
    </xf>
    <xf numFmtId="0" fontId="9" fillId="0" borderId="9" xfId="0" applyFont="1" applyBorder="1" applyAlignment="1">
      <alignment horizontal="left"/>
    </xf>
    <xf numFmtId="0" fontId="0" fillId="9" borderId="6" xfId="0" applyNumberFormat="1" applyFill="1" applyBorder="1" applyAlignment="1">
      <alignment horizontal="center"/>
    </xf>
    <xf numFmtId="4" fontId="9" fillId="0" borderId="7" xfId="0" applyNumberFormat="1" applyFont="1" applyBorder="1" applyAlignment="1">
      <alignment horizontal="center"/>
    </xf>
    <xf numFmtId="168" fontId="23" fillId="3" borderId="1" xfId="0" applyNumberFormat="1" applyFont="1" applyFill="1" applyBorder="1" applyAlignment="1">
      <alignment horizontal="center" vertical="center"/>
    </xf>
    <xf numFmtId="0" fontId="23" fillId="0" borderId="1" xfId="0" applyFont="1" applyFill="1" applyBorder="1" applyAlignment="1">
      <alignment horizontal="center" vertical="center"/>
    </xf>
    <xf numFmtId="0" fontId="23" fillId="0" borderId="1" xfId="0" applyFont="1" applyBorder="1" applyAlignment="1">
      <alignment horizontal="center" vertical="center"/>
    </xf>
    <xf numFmtId="0" fontId="23" fillId="0" borderId="1" xfId="0" applyFont="1" applyBorder="1" applyAlignment="1">
      <alignment vertical="center"/>
    </xf>
    <xf numFmtId="165" fontId="23" fillId="0" borderId="1" xfId="0" applyNumberFormat="1" applyFont="1" applyBorder="1" applyAlignment="1">
      <alignment horizontal="center" vertical="center"/>
    </xf>
    <xf numFmtId="0" fontId="24" fillId="4" borderId="1" xfId="0" applyFont="1" applyFill="1" applyBorder="1" applyAlignment="1">
      <alignment horizontal="center" vertical="center"/>
    </xf>
    <xf numFmtId="0" fontId="23" fillId="2" borderId="1" xfId="0" applyFont="1" applyFill="1" applyBorder="1" applyAlignment="1">
      <alignment horizontal="center" vertical="center"/>
    </xf>
    <xf numFmtId="165" fontId="23" fillId="0" borderId="1" xfId="0" applyNumberFormat="1" applyFont="1" applyFill="1" applyBorder="1" applyAlignment="1">
      <alignment horizontal="center" vertical="center"/>
    </xf>
    <xf numFmtId="0" fontId="23" fillId="0" borderId="1" xfId="0" applyFont="1" applyBorder="1" applyAlignment="1">
      <alignment horizontal="left" vertical="center"/>
    </xf>
    <xf numFmtId="10" fontId="23" fillId="3" borderId="1" xfId="0" applyNumberFormat="1" applyFont="1" applyFill="1" applyBorder="1" applyAlignment="1">
      <alignment horizontal="center" vertical="center"/>
    </xf>
    <xf numFmtId="0" fontId="25" fillId="6" borderId="1" xfId="0" applyFont="1" applyFill="1" applyBorder="1" applyAlignment="1">
      <alignment horizontal="center" vertical="center"/>
    </xf>
    <xf numFmtId="0" fontId="23" fillId="3" borderId="1" xfId="0" applyFont="1" applyFill="1" applyBorder="1" applyAlignment="1">
      <alignment horizontal="center" vertical="center"/>
    </xf>
    <xf numFmtId="10" fontId="23" fillId="0" borderId="1" xfId="0" applyNumberFormat="1" applyFont="1" applyFill="1" applyBorder="1" applyAlignment="1">
      <alignment horizontal="center" vertical="center"/>
    </xf>
    <xf numFmtId="165" fontId="23" fillId="3" borderId="1" xfId="0" applyNumberFormat="1" applyFont="1" applyFill="1" applyBorder="1" applyAlignment="1">
      <alignment horizontal="center" vertical="center"/>
    </xf>
    <xf numFmtId="0" fontId="0" fillId="9" borderId="6" xfId="0" applyFill="1" applyBorder="1" applyAlignment="1">
      <alignment horizontal="center"/>
    </xf>
    <xf numFmtId="3" fontId="0" fillId="9" borderId="6" xfId="0" applyNumberFormat="1" applyFill="1" applyBorder="1" applyAlignment="1">
      <alignment horizontal="center"/>
    </xf>
    <xf numFmtId="175" fontId="13" fillId="9" borderId="6" xfId="1" applyNumberFormat="1" applyFont="1" applyFill="1" applyBorder="1" applyAlignment="1">
      <alignment horizontal="center"/>
    </xf>
    <xf numFmtId="177" fontId="0" fillId="0" borderId="6" xfId="0" applyNumberFormat="1" applyBorder="1"/>
    <xf numFmtId="170" fontId="32" fillId="0" borderId="6" xfId="1" applyNumberFormat="1" applyFont="1" applyBorder="1" applyAlignment="1">
      <alignment horizontal="center"/>
    </xf>
    <xf numFmtId="176" fontId="13" fillId="0" borderId="6" xfId="1" applyNumberFormat="1" applyFont="1" applyBorder="1"/>
    <xf numFmtId="0" fontId="0" fillId="9" borderId="6" xfId="0" applyFill="1" applyBorder="1" applyAlignment="1">
      <alignment horizontal="left"/>
    </xf>
    <xf numFmtId="174" fontId="13" fillId="9" borderId="6" xfId="1" applyNumberFormat="1" applyFont="1" applyFill="1" applyBorder="1" applyAlignment="1">
      <alignment horizontal="center"/>
    </xf>
    <xf numFmtId="164" fontId="13" fillId="0" borderId="6" xfId="1" applyFont="1" applyBorder="1"/>
    <xf numFmtId="0" fontId="9" fillId="0" borderId="0" xfId="0" applyFont="1"/>
    <xf numFmtId="0" fontId="0" fillId="0" borderId="0" xfId="0" applyAlignment="1">
      <alignment horizontal="left"/>
    </xf>
    <xf numFmtId="2" fontId="0" fillId="0" borderId="0" xfId="0" applyNumberFormat="1" applyAlignment="1">
      <alignment horizontal="center"/>
    </xf>
    <xf numFmtId="2" fontId="0" fillId="0" borderId="0" xfId="0" applyNumberFormat="1" applyAlignment="1">
      <alignment horizontal="left"/>
    </xf>
    <xf numFmtId="0" fontId="9" fillId="0" borderId="4" xfId="0" applyFont="1" applyBorder="1" applyAlignment="1">
      <alignment horizontal="center" vertical="center" wrapText="1"/>
    </xf>
    <xf numFmtId="0" fontId="0" fillId="0" borderId="6" xfId="0" applyBorder="1" applyAlignment="1">
      <alignment horizontal="left" vertical="center"/>
    </xf>
    <xf numFmtId="0" fontId="0" fillId="0" borderId="6" xfId="0" applyBorder="1" applyAlignment="1">
      <alignment horizontal="center" vertical="center"/>
    </xf>
    <xf numFmtId="4" fontId="0" fillId="0" borderId="6" xfId="0" applyNumberFormat="1" applyBorder="1" applyAlignment="1">
      <alignment horizontal="center" vertical="center"/>
    </xf>
    <xf numFmtId="164" fontId="0" fillId="0" borderId="6" xfId="0" applyNumberFormat="1" applyBorder="1" applyAlignment="1">
      <alignment vertical="center"/>
    </xf>
    <xf numFmtId="0" fontId="33" fillId="0" borderId="0" xfId="0" applyFont="1"/>
    <xf numFmtId="0" fontId="34" fillId="0" borderId="0" xfId="0" applyFont="1"/>
    <xf numFmtId="0" fontId="0" fillId="0" borderId="0" xfId="0" applyProtection="1"/>
    <xf numFmtId="0" fontId="9" fillId="26" borderId="6" xfId="0" applyFont="1" applyFill="1" applyBorder="1" applyAlignment="1" applyProtection="1">
      <alignment horizontal="center" vertical="center" wrapText="1"/>
    </xf>
    <xf numFmtId="0" fontId="0" fillId="0" borderId="6" xfId="0" applyBorder="1" applyAlignment="1" applyProtection="1">
      <alignment horizontal="center" vertical="center"/>
    </xf>
    <xf numFmtId="164" fontId="3" fillId="0" borderId="6" xfId="1" applyBorder="1" applyAlignment="1" applyProtection="1">
      <alignment horizontal="center" vertical="center"/>
    </xf>
    <xf numFmtId="164" fontId="0" fillId="0" borderId="6" xfId="0" applyNumberFormat="1" applyBorder="1" applyAlignment="1" applyProtection="1">
      <alignment horizontal="center" vertical="center"/>
    </xf>
    <xf numFmtId="0" fontId="21" fillId="0" borderId="0" xfId="0" applyFont="1" applyProtection="1"/>
    <xf numFmtId="0" fontId="27" fillId="0" borderId="0" xfId="0" applyFont="1" applyFill="1" applyProtection="1"/>
    <xf numFmtId="0" fontId="22" fillId="0" borderId="0" xfId="0" applyFont="1" applyFill="1" applyAlignment="1" applyProtection="1">
      <alignment horizontal="center"/>
    </xf>
    <xf numFmtId="172" fontId="27" fillId="0" borderId="0" xfId="0" applyNumberFormat="1" applyFont="1" applyFill="1" applyProtection="1"/>
    <xf numFmtId="0" fontId="21" fillId="2" borderId="0" xfId="0" applyFont="1" applyFill="1" applyProtection="1"/>
    <xf numFmtId="0" fontId="27" fillId="9" borderId="0" xfId="0" applyFont="1" applyFill="1" applyProtection="1"/>
    <xf numFmtId="0" fontId="21" fillId="9" borderId="0" xfId="0" applyFont="1" applyFill="1" applyProtection="1"/>
    <xf numFmtId="4" fontId="27" fillId="0" borderId="0" xfId="0" applyNumberFormat="1" applyFont="1" applyFill="1" applyProtection="1"/>
    <xf numFmtId="10" fontId="28" fillId="0" borderId="0" xfId="0" applyNumberFormat="1" applyFont="1" applyFill="1" applyProtection="1"/>
    <xf numFmtId="0" fontId="21" fillId="0" borderId="0" xfId="0" applyFont="1" applyAlignment="1" applyProtection="1">
      <alignment horizontal="center"/>
    </xf>
    <xf numFmtId="0" fontId="32" fillId="0" borderId="6" xfId="0" applyFont="1" applyBorder="1" applyAlignment="1" applyProtection="1">
      <alignment horizontal="left" vertical="center" wrapText="1"/>
    </xf>
    <xf numFmtId="0" fontId="32" fillId="0" borderId="6" xfId="0" applyFont="1" applyBorder="1" applyAlignment="1" applyProtection="1">
      <alignment horizontal="center" vertical="center" wrapText="1"/>
    </xf>
    <xf numFmtId="179" fontId="32" fillId="9" borderId="6" xfId="1" applyNumberFormat="1" applyFont="1" applyFill="1" applyBorder="1" applyAlignment="1" applyProtection="1">
      <alignment horizontal="center" vertical="center"/>
    </xf>
    <xf numFmtId="164" fontId="32" fillId="0" borderId="6" xfId="1" applyFont="1" applyBorder="1" applyAlignment="1" applyProtection="1">
      <alignment vertical="center"/>
    </xf>
    <xf numFmtId="164" fontId="0" fillId="0" borderId="0" xfId="0" applyNumberFormat="1" applyProtection="1"/>
    <xf numFmtId="179" fontId="32" fillId="0" borderId="6" xfId="1" applyNumberFormat="1" applyFont="1" applyFill="1" applyBorder="1" applyAlignment="1" applyProtection="1">
      <alignment horizontal="center" vertical="center"/>
    </xf>
    <xf numFmtId="164" fontId="40" fillId="26" borderId="6" xfId="0" applyNumberFormat="1" applyFont="1" applyFill="1" applyBorder="1" applyProtection="1"/>
    <xf numFmtId="0" fontId="32" fillId="0" borderId="0" xfId="0" applyFont="1" applyAlignment="1" applyProtection="1">
      <alignment horizontal="center" vertical="center"/>
    </xf>
    <xf numFmtId="0" fontId="32" fillId="0" borderId="0" xfId="0" applyFont="1" applyAlignment="1" applyProtection="1">
      <alignment wrapText="1"/>
    </xf>
    <xf numFmtId="0" fontId="32" fillId="0" borderId="0" xfId="0" applyFont="1" applyProtection="1"/>
    <xf numFmtId="0" fontId="32" fillId="0" borderId="0" xfId="0" applyFont="1" applyAlignment="1" applyProtection="1">
      <alignment horizontal="left" vertical="center"/>
    </xf>
    <xf numFmtId="164" fontId="3" fillId="0" borderId="6" xfId="1" applyBorder="1" applyProtection="1"/>
    <xf numFmtId="0" fontId="32" fillId="9" borderId="6" xfId="0" applyFont="1" applyFill="1" applyBorder="1" applyAlignment="1" applyProtection="1">
      <alignment horizontal="center" vertical="center" wrapText="1"/>
    </xf>
    <xf numFmtId="164" fontId="14" fillId="0" borderId="6" xfId="1" applyNumberFormat="1" applyFont="1" applyBorder="1" applyProtection="1"/>
    <xf numFmtId="0" fontId="40" fillId="0" borderId="0" xfId="0" applyFont="1" applyAlignment="1" applyProtection="1">
      <alignment horizontal="left" vertical="center"/>
    </xf>
    <xf numFmtId="0" fontId="46" fillId="21" borderId="6" xfId="0" applyFont="1" applyFill="1" applyBorder="1" applyAlignment="1" applyProtection="1">
      <alignment horizontal="center" vertical="center" wrapText="1"/>
    </xf>
    <xf numFmtId="0" fontId="47" fillId="0" borderId="6" xfId="0" applyFont="1" applyBorder="1" applyAlignment="1" applyProtection="1">
      <alignment horizontal="left" vertical="center" wrapText="1"/>
    </xf>
    <xf numFmtId="164" fontId="3" fillId="0" borderId="6" xfId="1" applyFill="1" applyBorder="1" applyAlignment="1" applyProtection="1">
      <alignment vertical="center" wrapText="1"/>
    </xf>
    <xf numFmtId="0" fontId="47" fillId="9" borderId="6" xfId="0" applyFont="1" applyFill="1" applyBorder="1" applyAlignment="1" applyProtection="1">
      <alignment horizontal="center" vertical="center"/>
    </xf>
    <xf numFmtId="0" fontId="47" fillId="9" borderId="6" xfId="0" applyFont="1" applyFill="1" applyBorder="1" applyAlignment="1" applyProtection="1">
      <alignment horizontal="center" vertical="center" wrapText="1"/>
    </xf>
    <xf numFmtId="0" fontId="49" fillId="0" borderId="6" xfId="0" applyFont="1" applyBorder="1" applyAlignment="1" applyProtection="1">
      <alignment horizontal="left" vertical="center" wrapText="1"/>
    </xf>
    <xf numFmtId="0" fontId="49" fillId="9" borderId="6" xfId="0" applyFont="1" applyFill="1" applyBorder="1" applyAlignment="1" applyProtection="1">
      <alignment horizontal="center" vertical="center" wrapText="1"/>
    </xf>
    <xf numFmtId="0" fontId="49" fillId="0" borderId="6" xfId="0" applyFont="1" applyBorder="1" applyAlignment="1" applyProtection="1">
      <alignment horizontal="left" vertical="center"/>
    </xf>
    <xf numFmtId="0" fontId="49" fillId="9" borderId="6" xfId="0" applyFont="1" applyFill="1" applyBorder="1" applyAlignment="1" applyProtection="1">
      <alignment horizontal="left" vertical="top" wrapText="1"/>
    </xf>
    <xf numFmtId="0" fontId="49" fillId="9" borderId="7" xfId="0" applyFont="1" applyFill="1" applyBorder="1" applyAlignment="1" applyProtection="1">
      <alignment horizontal="left" vertical="top" wrapText="1"/>
    </xf>
    <xf numFmtId="0" fontId="49" fillId="9" borderId="7" xfId="0" applyFont="1" applyFill="1" applyBorder="1" applyAlignment="1" applyProtection="1">
      <alignment horizontal="center" vertical="center" wrapText="1"/>
    </xf>
    <xf numFmtId="0" fontId="47" fillId="9" borderId="7" xfId="0" applyFont="1" applyFill="1" applyBorder="1" applyAlignment="1" applyProtection="1">
      <alignment horizontal="center" vertical="center" wrapText="1"/>
    </xf>
    <xf numFmtId="164" fontId="47" fillId="0" borderId="6" xfId="0" applyNumberFormat="1" applyFont="1" applyBorder="1" applyProtection="1"/>
    <xf numFmtId="179" fontId="47" fillId="0" borderId="6" xfId="0" applyNumberFormat="1" applyFont="1" applyBorder="1" applyAlignment="1" applyProtection="1">
      <alignment horizontal="center"/>
    </xf>
    <xf numFmtId="164" fontId="46" fillId="0" borderId="6" xfId="0" applyNumberFormat="1" applyFont="1" applyBorder="1" applyProtection="1"/>
    <xf numFmtId="0" fontId="47" fillId="0" borderId="0" xfId="0" applyFont="1" applyBorder="1" applyAlignment="1" applyProtection="1">
      <alignment horizontal="center" vertical="center" wrapText="1"/>
    </xf>
    <xf numFmtId="164" fontId="47" fillId="0" borderId="0" xfId="0" applyNumberFormat="1" applyFont="1" applyBorder="1" applyProtection="1"/>
    <xf numFmtId="0" fontId="40" fillId="0" borderId="0" xfId="0" applyFont="1" applyBorder="1" applyAlignment="1" applyProtection="1">
      <alignment horizontal="center" vertical="center"/>
    </xf>
    <xf numFmtId="164" fontId="40" fillId="0" borderId="0" xfId="0" applyNumberFormat="1" applyFont="1" applyBorder="1" applyAlignment="1" applyProtection="1">
      <alignment horizontal="center" vertical="center"/>
    </xf>
    <xf numFmtId="0" fontId="39" fillId="26" borderId="6" xfId="0" applyFont="1" applyFill="1" applyBorder="1" applyAlignment="1" applyProtection="1">
      <alignment horizontal="center" vertical="center"/>
    </xf>
    <xf numFmtId="0" fontId="39" fillId="26" borderId="6" xfId="0" applyFont="1" applyFill="1" applyBorder="1" applyAlignment="1" applyProtection="1">
      <alignment horizontal="center" vertical="center" wrapText="1"/>
    </xf>
    <xf numFmtId="0" fontId="49" fillId="0" borderId="6" xfId="0" applyFont="1" applyBorder="1" applyAlignment="1" applyProtection="1">
      <alignment horizontal="center" vertical="center" wrapText="1"/>
    </xf>
    <xf numFmtId="0" fontId="49" fillId="0" borderId="6" xfId="0" applyFont="1" applyBorder="1" applyAlignment="1" applyProtection="1">
      <alignment horizontal="left" vertical="top" wrapText="1"/>
    </xf>
    <xf numFmtId="0" fontId="52" fillId="0" borderId="6" xfId="0" applyFont="1" applyBorder="1" applyAlignment="1" applyProtection="1">
      <alignment horizontal="center" vertical="center"/>
    </xf>
    <xf numFmtId="0" fontId="52" fillId="9" borderId="6" xfId="0" applyFont="1" applyFill="1" applyBorder="1" applyAlignment="1" applyProtection="1">
      <alignment horizontal="center" vertical="center"/>
    </xf>
    <xf numFmtId="0" fontId="52" fillId="9" borderId="6" xfId="1" applyNumberFormat="1" applyFont="1" applyFill="1" applyBorder="1" applyAlignment="1" applyProtection="1">
      <alignment horizontal="center" vertical="center"/>
    </xf>
    <xf numFmtId="0" fontId="49" fillId="0" borderId="7" xfId="0" applyFont="1" applyBorder="1" applyAlignment="1" applyProtection="1">
      <alignment horizontal="left" vertical="top" wrapText="1"/>
    </xf>
    <xf numFmtId="0" fontId="49" fillId="0" borderId="7" xfId="0" applyFont="1" applyBorder="1" applyAlignment="1" applyProtection="1">
      <alignment horizontal="center" vertical="center" wrapText="1"/>
    </xf>
    <xf numFmtId="0" fontId="52" fillId="0" borderId="6" xfId="0" applyFont="1" applyBorder="1" applyAlignment="1" applyProtection="1">
      <alignment horizontal="center" vertical="center" wrapText="1"/>
    </xf>
    <xf numFmtId="164" fontId="52" fillId="0" borderId="0" xfId="0" applyNumberFormat="1" applyFont="1" applyBorder="1" applyProtection="1"/>
    <xf numFmtId="0" fontId="49" fillId="0" borderId="24" xfId="0" applyFont="1" applyBorder="1" applyAlignment="1" applyProtection="1">
      <alignment horizontal="center" vertical="center"/>
    </xf>
    <xf numFmtId="0" fontId="49" fillId="0" borderId="24" xfId="0" applyFont="1" applyBorder="1" applyAlignment="1" applyProtection="1">
      <alignment horizontal="left" vertical="top" wrapText="1"/>
    </xf>
    <xf numFmtId="0" fontId="49" fillId="0" borderId="24" xfId="0" applyFont="1" applyBorder="1" applyAlignment="1" applyProtection="1">
      <alignment horizontal="center" vertical="center" wrapText="1"/>
    </xf>
    <xf numFmtId="0" fontId="52" fillId="0" borderId="24" xfId="0" applyFont="1" applyBorder="1" applyAlignment="1" applyProtection="1">
      <alignment horizontal="center" vertical="center"/>
    </xf>
    <xf numFmtId="0" fontId="52" fillId="9" borderId="24" xfId="0" applyFont="1" applyFill="1" applyBorder="1" applyAlignment="1" applyProtection="1">
      <alignment horizontal="center" vertical="center"/>
    </xf>
    <xf numFmtId="0" fontId="52" fillId="9" borderId="16" xfId="0" applyFont="1" applyFill="1" applyBorder="1" applyAlignment="1" applyProtection="1">
      <alignment horizontal="center" vertical="center"/>
    </xf>
    <xf numFmtId="164" fontId="52" fillId="9" borderId="24" xfId="1" applyFont="1" applyFill="1" applyBorder="1" applyAlignment="1" applyProtection="1">
      <alignment horizontal="center" vertical="center"/>
    </xf>
    <xf numFmtId="164" fontId="52" fillId="9" borderId="24" xfId="1" applyNumberFormat="1" applyFont="1" applyFill="1" applyBorder="1" applyAlignment="1" applyProtection="1">
      <alignment horizontal="center" vertical="center"/>
    </xf>
    <xf numFmtId="0" fontId="49" fillId="0" borderId="6" xfId="0" applyFont="1" applyBorder="1" applyAlignment="1" applyProtection="1">
      <alignment horizontal="center" vertical="center"/>
    </xf>
    <xf numFmtId="0" fontId="52" fillId="9" borderId="2" xfId="0" applyFont="1" applyFill="1" applyBorder="1" applyAlignment="1" applyProtection="1">
      <alignment horizontal="center" vertical="center"/>
    </xf>
    <xf numFmtId="0" fontId="49" fillId="0" borderId="6" xfId="0" applyFont="1" applyBorder="1" applyProtection="1"/>
    <xf numFmtId="0" fontId="49" fillId="0" borderId="6" xfId="0" applyFont="1" applyBorder="1" applyAlignment="1" applyProtection="1">
      <alignment wrapText="1"/>
    </xf>
    <xf numFmtId="0" fontId="46" fillId="0" borderId="0" xfId="0" applyFont="1" applyBorder="1" applyAlignment="1" applyProtection="1">
      <alignment horizontal="center" vertical="center"/>
    </xf>
    <xf numFmtId="164" fontId="46" fillId="0" borderId="0" xfId="0" applyNumberFormat="1" applyFont="1" applyBorder="1" applyAlignment="1" applyProtection="1">
      <alignment horizontal="center" vertical="center"/>
    </xf>
    <xf numFmtId="0" fontId="32" fillId="0" borderId="6" xfId="0" applyFont="1" applyBorder="1" applyAlignment="1" applyProtection="1">
      <alignment vertical="center" wrapText="1"/>
    </xf>
    <xf numFmtId="0" fontId="32" fillId="0" borderId="6" xfId="0" applyFont="1" applyBorder="1" applyAlignment="1" applyProtection="1">
      <alignment horizontal="justify" vertical="center" wrapText="1"/>
    </xf>
    <xf numFmtId="0" fontId="32" fillId="9" borderId="6" xfId="0" applyFont="1" applyFill="1" applyBorder="1" applyAlignment="1" applyProtection="1">
      <alignment horizontal="center" vertical="center"/>
    </xf>
    <xf numFmtId="0" fontId="32" fillId="0" borderId="6" xfId="0" applyFont="1" applyBorder="1" applyAlignment="1" applyProtection="1">
      <alignment wrapText="1"/>
    </xf>
    <xf numFmtId="0" fontId="32" fillId="0" borderId="24" xfId="0" applyFont="1" applyBorder="1" applyAlignment="1" applyProtection="1">
      <alignment wrapText="1"/>
    </xf>
    <xf numFmtId="0" fontId="32" fillId="9" borderId="24" xfId="0" applyFont="1" applyFill="1" applyBorder="1" applyAlignment="1" applyProtection="1">
      <alignment horizontal="center" vertical="center"/>
    </xf>
    <xf numFmtId="0" fontId="32" fillId="0" borderId="24" xfId="0" applyFont="1" applyBorder="1" applyAlignment="1" applyProtection="1">
      <alignment horizontal="center" vertical="center"/>
    </xf>
    <xf numFmtId="0" fontId="32" fillId="0" borderId="6" xfId="0" applyFont="1" applyBorder="1" applyAlignment="1" applyProtection="1">
      <alignment vertical="center"/>
    </xf>
    <xf numFmtId="164" fontId="32" fillId="0" borderId="6" xfId="0" applyNumberFormat="1" applyFont="1" applyBorder="1" applyAlignment="1" applyProtection="1">
      <alignment horizontal="center" vertical="center"/>
    </xf>
    <xf numFmtId="164" fontId="40" fillId="0" borderId="6" xfId="0" applyNumberFormat="1" applyFont="1" applyBorder="1" applyAlignment="1" applyProtection="1">
      <alignment horizontal="center" vertical="center"/>
    </xf>
    <xf numFmtId="164" fontId="32" fillId="0" borderId="0" xfId="0" applyNumberFormat="1" applyFont="1" applyBorder="1" applyAlignment="1" applyProtection="1">
      <alignment horizontal="center" vertical="center"/>
    </xf>
    <xf numFmtId="0" fontId="0" fillId="0" borderId="0" xfId="0" applyAlignment="1" applyProtection="1">
      <alignment horizontal="center" vertical="center"/>
    </xf>
    <xf numFmtId="0" fontId="23" fillId="0" borderId="0" xfId="0" applyFont="1" applyProtection="1"/>
    <xf numFmtId="164" fontId="26" fillId="0" borderId="6" xfId="1" applyFont="1" applyBorder="1" applyAlignment="1" applyProtection="1">
      <alignment horizontal="center" vertical="center"/>
    </xf>
    <xf numFmtId="0" fontId="49" fillId="0" borderId="2" xfId="0" applyFont="1" applyBorder="1" applyAlignment="1" applyProtection="1">
      <alignment horizontal="center" vertical="center" wrapText="1"/>
    </xf>
    <xf numFmtId="0" fontId="49" fillId="9" borderId="2" xfId="0" applyFont="1" applyFill="1" applyBorder="1" applyAlignment="1" applyProtection="1">
      <alignment horizontal="center" vertical="center" wrapText="1"/>
    </xf>
    <xf numFmtId="0" fontId="49" fillId="0" borderId="9" xfId="0" applyFont="1" applyBorder="1" applyAlignment="1" applyProtection="1">
      <alignment horizontal="center" vertical="center" wrapText="1"/>
    </xf>
    <xf numFmtId="0" fontId="49" fillId="0" borderId="16" xfId="0" applyFont="1" applyBorder="1" applyAlignment="1" applyProtection="1">
      <alignment horizontal="center" vertical="center" wrapText="1"/>
    </xf>
    <xf numFmtId="0" fontId="49" fillId="0" borderId="2" xfId="0" applyFont="1" applyBorder="1" applyAlignment="1" applyProtection="1">
      <alignment horizontal="center" vertical="center"/>
    </xf>
    <xf numFmtId="0" fontId="32" fillId="0" borderId="6" xfId="0" applyFont="1" applyBorder="1" applyAlignment="1" applyProtection="1">
      <alignment horizontal="center" vertical="center"/>
    </xf>
    <xf numFmtId="0" fontId="0" fillId="0" borderId="6" xfId="0" applyBorder="1" applyAlignment="1" applyProtection="1">
      <alignment horizontal="center"/>
    </xf>
    <xf numFmtId="10" fontId="14" fillId="0" borderId="6" xfId="6" applyNumberFormat="1" applyFont="1" applyBorder="1" applyAlignment="1" applyProtection="1">
      <alignment horizontal="center" vertical="center"/>
    </xf>
    <xf numFmtId="0" fontId="9" fillId="0" borderId="0" xfId="0" applyFont="1" applyBorder="1" applyAlignment="1" applyProtection="1">
      <alignment horizontal="center" vertical="center"/>
    </xf>
    <xf numFmtId="10" fontId="14" fillId="0" borderId="0" xfId="6" applyNumberFormat="1" applyFont="1" applyBorder="1" applyAlignment="1" applyProtection="1">
      <alignment horizontal="center" vertical="center"/>
    </xf>
    <xf numFmtId="164" fontId="57" fillId="0" borderId="6" xfId="0" applyNumberFormat="1" applyFont="1" applyBorder="1" applyProtection="1"/>
    <xf numFmtId="164" fontId="46" fillId="26" borderId="6" xfId="0" applyNumberFormat="1" applyFont="1" applyFill="1" applyBorder="1" applyProtection="1"/>
    <xf numFmtId="164" fontId="3" fillId="0" borderId="6" xfId="1" applyBorder="1" applyAlignment="1" applyProtection="1">
      <alignment vertical="center"/>
    </xf>
    <xf numFmtId="164" fontId="14" fillId="26" borderId="6" xfId="1" applyNumberFormat="1" applyFont="1" applyFill="1" applyBorder="1" applyProtection="1"/>
    <xf numFmtId="171" fontId="28" fillId="9" borderId="2" xfId="0" applyNumberFormat="1" applyFont="1" applyFill="1" applyBorder="1" applyAlignment="1" applyProtection="1">
      <alignment vertical="center"/>
    </xf>
    <xf numFmtId="171" fontId="28" fillId="9" borderId="3" xfId="0" applyNumberFormat="1" applyFont="1" applyFill="1" applyBorder="1" applyAlignment="1" applyProtection="1">
      <alignment vertical="center"/>
    </xf>
    <xf numFmtId="171" fontId="28" fillId="9" borderId="25" xfId="0" applyNumberFormat="1" applyFont="1" applyFill="1" applyBorder="1" applyAlignment="1" applyProtection="1">
      <alignment vertical="center"/>
    </xf>
    <xf numFmtId="171" fontId="28" fillId="9" borderId="16" xfId="0" applyNumberFormat="1" applyFont="1" applyFill="1" applyBorder="1" applyAlignment="1" applyProtection="1">
      <alignment vertical="center"/>
    </xf>
    <xf numFmtId="171" fontId="28" fillId="9" borderId="8" xfId="0" applyNumberFormat="1" applyFont="1" applyFill="1" applyBorder="1" applyAlignment="1" applyProtection="1">
      <alignment vertical="center"/>
    </xf>
    <xf numFmtId="171" fontId="28" fillId="9" borderId="17" xfId="0" applyNumberFormat="1" applyFont="1" applyFill="1" applyBorder="1" applyAlignment="1" applyProtection="1">
      <alignment vertical="center"/>
    </xf>
    <xf numFmtId="0" fontId="0" fillId="0" borderId="0" xfId="0" applyFont="1" applyBorder="1" applyAlignment="1" applyProtection="1">
      <alignment horizontal="left" vertical="center"/>
    </xf>
    <xf numFmtId="0" fontId="39" fillId="26" borderId="2" xfId="0" applyFont="1" applyFill="1" applyBorder="1" applyAlignment="1" applyProtection="1">
      <alignment horizontal="center" vertical="center" wrapText="1"/>
    </xf>
    <xf numFmtId="10" fontId="14" fillId="9" borderId="6" xfId="6" applyNumberFormat="1" applyFont="1" applyFill="1" applyBorder="1" applyAlignment="1" applyProtection="1">
      <alignment horizontal="center" vertical="center"/>
    </xf>
    <xf numFmtId="164" fontId="26" fillId="9" borderId="6" xfId="1" applyFont="1" applyFill="1" applyBorder="1" applyAlignment="1" applyProtection="1">
      <alignment horizontal="center" vertical="center"/>
    </xf>
    <xf numFmtId="164" fontId="26" fillId="26" borderId="24" xfId="1" applyFont="1" applyFill="1" applyBorder="1" applyAlignment="1" applyProtection="1">
      <alignment horizontal="center" vertical="center"/>
    </xf>
    <xf numFmtId="0" fontId="23" fillId="0" borderId="6" xfId="0" applyFont="1" applyFill="1" applyBorder="1" applyAlignment="1" applyProtection="1">
      <alignment horizontal="center" vertical="center" wrapText="1"/>
    </xf>
    <xf numFmtId="0" fontId="23" fillId="0" borderId="25" xfId="0" applyFont="1" applyBorder="1" applyAlignment="1" applyProtection="1">
      <alignment horizontal="center" vertical="center"/>
    </xf>
    <xf numFmtId="10" fontId="26" fillId="9" borderId="6" xfId="1" applyNumberFormat="1" applyFont="1" applyFill="1" applyBorder="1" applyAlignment="1" applyProtection="1">
      <alignment horizontal="center" vertical="center"/>
    </xf>
    <xf numFmtId="0" fontId="23" fillId="9" borderId="6" xfId="0" applyFont="1" applyFill="1" applyBorder="1" applyAlignment="1" applyProtection="1">
      <alignment horizontal="center" vertical="center"/>
    </xf>
    <xf numFmtId="0" fontId="30" fillId="9" borderId="0" xfId="0" applyFont="1" applyFill="1" applyProtection="1"/>
    <xf numFmtId="0" fontId="23" fillId="0" borderId="6" xfId="0" applyFont="1" applyBorder="1" applyAlignment="1" applyProtection="1">
      <alignment horizontal="center" vertical="center" wrapText="1"/>
    </xf>
    <xf numFmtId="10" fontId="23" fillId="0" borderId="6" xfId="0" applyNumberFormat="1" applyFont="1" applyBorder="1" applyAlignment="1" applyProtection="1">
      <alignment horizontal="center" vertical="center" wrapText="1"/>
    </xf>
    <xf numFmtId="164" fontId="26" fillId="26" borderId="6" xfId="1" applyFont="1" applyFill="1" applyBorder="1" applyAlignment="1" applyProtection="1">
      <alignment horizontal="center" vertical="center"/>
    </xf>
    <xf numFmtId="164" fontId="29" fillId="21" borderId="6" xfId="1" applyFont="1" applyFill="1" applyBorder="1" applyProtection="1"/>
    <xf numFmtId="10" fontId="26" fillId="0" borderId="6" xfId="1" applyNumberFormat="1" applyFont="1" applyBorder="1" applyAlignment="1" applyProtection="1">
      <alignment horizontal="center" vertical="center"/>
    </xf>
    <xf numFmtId="10" fontId="26" fillId="0" borderId="6" xfId="6" applyNumberFormat="1" applyFont="1" applyBorder="1" applyAlignment="1" applyProtection="1">
      <alignment horizontal="center" vertical="center"/>
    </xf>
    <xf numFmtId="164" fontId="30" fillId="9" borderId="0" xfId="0" applyNumberFormat="1" applyFont="1" applyFill="1" applyProtection="1"/>
    <xf numFmtId="164" fontId="23" fillId="0" borderId="0" xfId="0" applyNumberFormat="1" applyFont="1" applyProtection="1"/>
    <xf numFmtId="164" fontId="40" fillId="26" borderId="6" xfId="0" applyNumberFormat="1" applyFont="1" applyFill="1" applyBorder="1" applyAlignment="1" applyProtection="1">
      <alignment horizontal="center" vertical="center"/>
    </xf>
    <xf numFmtId="0" fontId="24" fillId="26" borderId="6" xfId="0" applyFont="1" applyFill="1" applyBorder="1" applyAlignment="1" applyProtection="1">
      <alignment horizontal="center" vertical="center" wrapText="1"/>
    </xf>
    <xf numFmtId="0" fontId="49" fillId="0" borderId="6" xfId="0" applyFont="1" applyFill="1" applyBorder="1" applyAlignment="1" applyProtection="1">
      <alignment horizontal="center" vertical="center" wrapText="1"/>
    </xf>
    <xf numFmtId="0" fontId="66" fillId="0" borderId="0" xfId="0" applyFont="1" applyAlignment="1" applyProtection="1">
      <alignment horizontal="center" vertical="center"/>
    </xf>
    <xf numFmtId="0" fontId="66" fillId="0" borderId="0" xfId="0" applyFont="1" applyAlignment="1" applyProtection="1">
      <alignment horizontal="center"/>
    </xf>
    <xf numFmtId="0" fontId="66" fillId="0" borderId="0" xfId="0" applyFont="1" applyProtection="1"/>
    <xf numFmtId="0" fontId="65" fillId="26" borderId="6" xfId="0" applyFont="1" applyFill="1" applyBorder="1" applyAlignment="1" applyProtection="1">
      <alignment horizontal="center" vertical="center"/>
    </xf>
    <xf numFmtId="0" fontId="65" fillId="26" borderId="6" xfId="0" applyFont="1" applyFill="1" applyBorder="1" applyAlignment="1" applyProtection="1">
      <alignment horizontal="center" vertical="center" wrapText="1"/>
    </xf>
    <xf numFmtId="0" fontId="66" fillId="0" borderId="6" xfId="0" applyFont="1" applyBorder="1" applyAlignment="1" applyProtection="1">
      <alignment horizontal="center" vertical="center"/>
    </xf>
    <xf numFmtId="3" fontId="66" fillId="0" borderId="6" xfId="0" applyNumberFormat="1" applyFont="1" applyBorder="1" applyAlignment="1" applyProtection="1">
      <alignment horizontal="center" vertical="center"/>
    </xf>
    <xf numFmtId="164" fontId="67" fillId="0" borderId="6" xfId="1" applyFont="1" applyBorder="1" applyAlignment="1" applyProtection="1">
      <alignment horizontal="center" vertical="center"/>
    </xf>
    <xf numFmtId="0" fontId="66" fillId="0" borderId="6" xfId="0" applyFont="1" applyBorder="1" applyAlignment="1" applyProtection="1">
      <alignment horizontal="center" vertical="center" wrapText="1"/>
    </xf>
    <xf numFmtId="164" fontId="67" fillId="26" borderId="6" xfId="1" applyFont="1" applyFill="1" applyBorder="1" applyAlignment="1" applyProtection="1">
      <alignment horizontal="center" vertical="center"/>
    </xf>
    <xf numFmtId="10" fontId="68" fillId="9" borderId="25" xfId="1" applyNumberFormat="1" applyFont="1" applyFill="1" applyBorder="1" applyAlignment="1" applyProtection="1">
      <alignment horizontal="center" vertical="center"/>
    </xf>
    <xf numFmtId="164" fontId="68" fillId="26" borderId="6" xfId="1" applyFont="1" applyFill="1" applyBorder="1" applyAlignment="1" applyProtection="1">
      <alignment horizontal="center" vertical="center"/>
    </xf>
    <xf numFmtId="0" fontId="65" fillId="0" borderId="0" xfId="0" applyFont="1" applyAlignment="1" applyProtection="1">
      <alignment horizontal="center" vertical="center"/>
    </xf>
    <xf numFmtId="164" fontId="67" fillId="12" borderId="6" xfId="1" applyFont="1" applyFill="1" applyBorder="1" applyAlignment="1" applyProtection="1">
      <alignment horizontal="center" vertical="center"/>
      <protection locked="0"/>
    </xf>
    <xf numFmtId="0" fontId="49" fillId="0" borderId="24" xfId="0" applyFont="1" applyFill="1" applyBorder="1" applyAlignment="1" applyProtection="1">
      <alignment horizontal="center" vertical="center"/>
    </xf>
    <xf numFmtId="0" fontId="49" fillId="0" borderId="6" xfId="0" applyFont="1" applyFill="1" applyBorder="1" applyAlignment="1" applyProtection="1">
      <alignment horizontal="center" vertical="center"/>
    </xf>
    <xf numFmtId="164" fontId="67" fillId="9" borderId="25" xfId="1" applyFont="1" applyFill="1" applyBorder="1" applyAlignment="1" applyProtection="1">
      <alignment horizontal="center" vertical="center"/>
    </xf>
    <xf numFmtId="164" fontId="3" fillId="9" borderId="6" xfId="1" applyFill="1" applyBorder="1" applyAlignment="1" applyProtection="1">
      <alignment vertical="center" wrapText="1"/>
    </xf>
    <xf numFmtId="165" fontId="22" fillId="0" borderId="0" xfId="0" applyNumberFormat="1" applyFont="1" applyFill="1" applyProtection="1"/>
    <xf numFmtId="0" fontId="22" fillId="0" borderId="0" xfId="0" applyFont="1" applyFill="1" applyProtection="1"/>
    <xf numFmtId="165" fontId="26" fillId="13" borderId="6" xfId="0" applyNumberFormat="1" applyFont="1" applyFill="1" applyBorder="1" applyAlignment="1" applyProtection="1">
      <alignment horizontal="center" vertical="center" wrapText="1"/>
    </xf>
    <xf numFmtId="1" fontId="23" fillId="13" borderId="6" xfId="0" applyNumberFormat="1" applyFont="1" applyFill="1" applyBorder="1" applyAlignment="1" applyProtection="1">
      <alignment horizontal="center" vertical="center"/>
    </xf>
    <xf numFmtId="1" fontId="23" fillId="13" borderId="6" xfId="0" applyNumberFormat="1" applyFont="1" applyFill="1" applyBorder="1" applyAlignment="1" applyProtection="1">
      <alignment horizontal="center" vertical="center" wrapText="1"/>
    </xf>
    <xf numFmtId="0" fontId="23" fillId="13" borderId="6" xfId="0" applyFont="1" applyFill="1" applyBorder="1" applyAlignment="1" applyProtection="1">
      <alignment horizontal="center" vertical="center"/>
    </xf>
    <xf numFmtId="165" fontId="24" fillId="4" borderId="6" xfId="0" applyNumberFormat="1" applyFont="1" applyFill="1" applyBorder="1" applyAlignment="1" applyProtection="1">
      <alignment horizontal="center" vertical="center"/>
    </xf>
    <xf numFmtId="0" fontId="26" fillId="0" borderId="6" xfId="0" applyFont="1" applyFill="1" applyBorder="1" applyAlignment="1" applyProtection="1">
      <alignment horizontal="center" vertical="center"/>
    </xf>
    <xf numFmtId="165" fontId="24" fillId="5" borderId="6" xfId="0" applyNumberFormat="1" applyFont="1" applyFill="1" applyBorder="1" applyAlignment="1" applyProtection="1">
      <alignment horizontal="center" vertical="center"/>
    </xf>
    <xf numFmtId="0" fontId="24" fillId="11" borderId="6" xfId="0" applyFont="1" applyFill="1" applyBorder="1" applyAlignment="1" applyProtection="1">
      <alignment horizontal="center" vertical="center"/>
    </xf>
    <xf numFmtId="167" fontId="24" fillId="4" borderId="6" xfId="0" applyNumberFormat="1" applyFont="1" applyFill="1" applyBorder="1" applyAlignment="1" applyProtection="1">
      <alignment horizontal="center" vertical="center"/>
    </xf>
    <xf numFmtId="49" fontId="23" fillId="0" borderId="6" xfId="0" applyNumberFormat="1" applyFont="1" applyBorder="1" applyAlignment="1" applyProtection="1">
      <alignment horizontal="center" vertical="center"/>
    </xf>
    <xf numFmtId="165" fontId="23" fillId="10" borderId="6" xfId="0" applyNumberFormat="1" applyFont="1" applyFill="1" applyBorder="1" applyAlignment="1" applyProtection="1">
      <alignment horizontal="center" vertical="center"/>
    </xf>
    <xf numFmtId="165" fontId="25" fillId="6" borderId="6" xfId="0" applyNumberFormat="1" applyFont="1" applyFill="1" applyBorder="1" applyAlignment="1" applyProtection="1">
      <alignment horizontal="center" vertical="center"/>
    </xf>
    <xf numFmtId="165" fontId="23" fillId="13" borderId="6" xfId="0" applyNumberFormat="1" applyFont="1" applyFill="1" applyBorder="1" applyAlignment="1" applyProtection="1">
      <alignment horizontal="center" vertical="center" wrapText="1"/>
    </xf>
    <xf numFmtId="165" fontId="24" fillId="15" borderId="6" xfId="0" applyNumberFormat="1" applyFont="1" applyFill="1" applyBorder="1" applyAlignment="1" applyProtection="1">
      <alignment horizontal="center" vertical="center"/>
    </xf>
    <xf numFmtId="165" fontId="24" fillId="0" borderId="6" xfId="0" applyNumberFormat="1" applyFont="1" applyBorder="1" applyAlignment="1" applyProtection="1">
      <alignment horizontal="center" vertical="center"/>
    </xf>
    <xf numFmtId="165" fontId="24" fillId="24" borderId="6" xfId="0" applyNumberFormat="1" applyFont="1" applyFill="1" applyBorder="1" applyAlignment="1" applyProtection="1">
      <alignment horizontal="center" vertical="center"/>
    </xf>
    <xf numFmtId="0" fontId="24" fillId="5" borderId="6" xfId="0" applyFont="1" applyFill="1" applyBorder="1" applyAlignment="1" applyProtection="1">
      <alignment horizontal="center" vertical="center" wrapText="1"/>
    </xf>
    <xf numFmtId="172" fontId="23" fillId="0" borderId="6" xfId="0" applyNumberFormat="1" applyFont="1" applyBorder="1" applyAlignment="1" applyProtection="1">
      <alignment horizontal="center" vertical="center"/>
    </xf>
    <xf numFmtId="1" fontId="24" fillId="0" borderId="6" xfId="0" applyNumberFormat="1" applyFont="1" applyBorder="1" applyAlignment="1" applyProtection="1">
      <alignment horizontal="center" vertical="center"/>
    </xf>
    <xf numFmtId="165" fontId="24" fillId="9" borderId="6" xfId="0" applyNumberFormat="1" applyFont="1" applyFill="1" applyBorder="1" applyAlignment="1" applyProtection="1">
      <alignment horizontal="center" vertical="center"/>
    </xf>
    <xf numFmtId="0" fontId="23" fillId="28" borderId="6" xfId="0" applyFont="1" applyFill="1" applyBorder="1" applyAlignment="1" applyProtection="1">
      <alignment horizontal="center" vertical="center" wrapText="1"/>
      <protection locked="0"/>
    </xf>
    <xf numFmtId="49" fontId="23" fillId="28" borderId="6" xfId="0" applyNumberFormat="1" applyFont="1" applyFill="1" applyBorder="1" applyAlignment="1" applyProtection="1">
      <alignment horizontal="center" vertical="center" wrapText="1"/>
      <protection locked="0"/>
    </xf>
    <xf numFmtId="14" fontId="23" fillId="28" borderId="6" xfId="0" applyNumberFormat="1" applyFont="1" applyFill="1" applyBorder="1" applyAlignment="1" applyProtection="1">
      <alignment horizontal="center" vertical="center"/>
      <protection locked="0"/>
    </xf>
    <xf numFmtId="1" fontId="31" fillId="28" borderId="6" xfId="0" applyNumberFormat="1" applyFont="1" applyFill="1" applyBorder="1" applyAlignment="1" applyProtection="1">
      <alignment horizontal="center" vertical="center"/>
      <protection locked="0"/>
    </xf>
    <xf numFmtId="172" fontId="23" fillId="29" borderId="6" xfId="0" applyNumberFormat="1" applyFont="1" applyFill="1" applyBorder="1" applyAlignment="1" applyProtection="1">
      <alignment horizontal="center" vertical="center"/>
      <protection locked="0"/>
    </xf>
    <xf numFmtId="10" fontId="23" fillId="13" borderId="6" xfId="0" applyNumberFormat="1" applyFont="1" applyFill="1" applyBorder="1" applyAlignment="1" applyProtection="1">
      <alignment horizontal="center" vertical="center"/>
      <protection locked="0"/>
    </xf>
    <xf numFmtId="0" fontId="62" fillId="21" borderId="6" xfId="0" applyFont="1" applyFill="1" applyBorder="1" applyAlignment="1" applyProtection="1">
      <alignment horizontal="center" vertical="center"/>
    </xf>
    <xf numFmtId="0" fontId="62" fillId="21" borderId="6" xfId="0" applyFont="1" applyFill="1" applyBorder="1" applyAlignment="1" applyProtection="1">
      <alignment horizontal="center" vertical="center" wrapText="1"/>
    </xf>
    <xf numFmtId="0" fontId="54" fillId="21" borderId="6" xfId="0" applyFont="1" applyFill="1" applyBorder="1" applyAlignment="1" applyProtection="1">
      <alignment horizontal="center" vertical="center" wrapText="1"/>
    </xf>
    <xf numFmtId="0" fontId="63" fillId="0" borderId="6" xfId="0" applyFont="1" applyBorder="1" applyAlignment="1" applyProtection="1">
      <alignment horizontal="center"/>
    </xf>
    <xf numFmtId="164" fontId="0" fillId="9" borderId="6" xfId="1" applyFont="1" applyFill="1" applyBorder="1" applyAlignment="1" applyProtection="1">
      <alignment horizontal="center"/>
    </xf>
    <xf numFmtId="164" fontId="0" fillId="0" borderId="6" xfId="1" applyFont="1" applyBorder="1" applyAlignment="1" applyProtection="1">
      <alignment horizontal="center"/>
    </xf>
    <xf numFmtId="0" fontId="0" fillId="0" borderId="6" xfId="0" applyBorder="1" applyProtection="1"/>
    <xf numFmtId="0" fontId="63" fillId="0" borderId="6" xfId="0" applyFont="1" applyBorder="1" applyAlignment="1" applyProtection="1">
      <alignment horizontal="center" vertical="center"/>
    </xf>
    <xf numFmtId="0" fontId="49" fillId="0" borderId="6" xfId="0" applyFont="1" applyBorder="1" applyAlignment="1" applyProtection="1">
      <alignment horizontal="center"/>
    </xf>
    <xf numFmtId="164" fontId="0" fillId="26" borderId="6" xfId="1" applyFont="1" applyFill="1" applyBorder="1" applyAlignment="1" applyProtection="1">
      <alignment horizontal="center"/>
    </xf>
    <xf numFmtId="0" fontId="54" fillId="26" borderId="6" xfId="0" applyFont="1" applyFill="1" applyBorder="1" applyAlignment="1" applyProtection="1">
      <alignment horizontal="center" vertical="center"/>
    </xf>
    <xf numFmtId="0" fontId="54" fillId="26" borderId="6" xfId="0" applyFont="1" applyFill="1" applyBorder="1" applyAlignment="1" applyProtection="1">
      <alignment horizontal="center" vertical="center" wrapText="1"/>
    </xf>
    <xf numFmtId="0" fontId="49" fillId="0" borderId="6" xfId="0" applyFont="1" applyBorder="1" applyAlignment="1" applyProtection="1">
      <alignment horizontal="center" wrapText="1"/>
    </xf>
    <xf numFmtId="0" fontId="49" fillId="0" borderId="0" xfId="0" applyFont="1" applyAlignment="1" applyProtection="1">
      <alignment horizontal="center" wrapText="1"/>
    </xf>
    <xf numFmtId="164" fontId="61" fillId="26" borderId="6" xfId="1" applyFont="1" applyFill="1" applyBorder="1" applyAlignment="1" applyProtection="1">
      <alignment horizontal="center"/>
    </xf>
    <xf numFmtId="164" fontId="9" fillId="26" borderId="6" xfId="1" applyFont="1" applyFill="1" applyBorder="1" applyAlignment="1" applyProtection="1">
      <alignment horizontal="center" vertical="center"/>
    </xf>
    <xf numFmtId="164" fontId="0" fillId="12" borderId="6" xfId="1" applyFont="1" applyFill="1" applyBorder="1" applyAlignment="1" applyProtection="1">
      <alignment horizontal="center"/>
      <protection locked="0"/>
    </xf>
    <xf numFmtId="10" fontId="3" fillId="12" borderId="6" xfId="6" applyNumberFormat="1" applyFill="1" applyBorder="1" applyAlignment="1" applyProtection="1">
      <alignment horizontal="center" vertical="center"/>
      <protection locked="0"/>
    </xf>
    <xf numFmtId="164" fontId="32" fillId="12" borderId="6" xfId="1" applyFont="1" applyFill="1" applyBorder="1" applyAlignment="1" applyProtection="1">
      <alignment horizontal="center" vertical="center"/>
      <protection locked="0"/>
    </xf>
    <xf numFmtId="164" fontId="52" fillId="12" borderId="24" xfId="1" applyFont="1" applyFill="1" applyBorder="1" applyAlignment="1" applyProtection="1">
      <alignment horizontal="center" vertical="center"/>
      <protection locked="0"/>
    </xf>
    <xf numFmtId="164" fontId="52" fillId="12" borderId="6" xfId="1" applyFont="1" applyFill="1" applyBorder="1" applyAlignment="1" applyProtection="1">
      <alignment horizontal="center" vertical="center"/>
      <protection locked="0"/>
    </xf>
    <xf numFmtId="164" fontId="47" fillId="12" borderId="6" xfId="1" applyFont="1" applyFill="1" applyBorder="1" applyAlignment="1" applyProtection="1">
      <alignment vertical="center" wrapText="1"/>
      <protection locked="0"/>
    </xf>
    <xf numFmtId="164" fontId="47" fillId="12" borderId="6" xfId="1" applyFont="1" applyFill="1" applyBorder="1" applyAlignment="1" applyProtection="1">
      <alignment horizontal="center" vertical="center"/>
      <protection locked="0"/>
    </xf>
    <xf numFmtId="164" fontId="47" fillId="12" borderId="7" xfId="1" applyFont="1" applyFill="1" applyBorder="1" applyAlignment="1" applyProtection="1">
      <alignment horizontal="center" vertical="center"/>
      <protection locked="0"/>
    </xf>
    <xf numFmtId="164" fontId="32" fillId="12" borderId="6" xfId="1" applyFont="1" applyFill="1" applyBorder="1" applyProtection="1">
      <protection locked="0"/>
    </xf>
    <xf numFmtId="164" fontId="32" fillId="12" borderId="6" xfId="1" applyFont="1" applyFill="1" applyBorder="1" applyAlignment="1" applyProtection="1">
      <alignment vertical="center"/>
      <protection locked="0"/>
    </xf>
    <xf numFmtId="0" fontId="24" fillId="5" borderId="6" xfId="0" applyFont="1" applyFill="1" applyBorder="1" applyAlignment="1" applyProtection="1">
      <alignment horizontal="center" vertical="center"/>
    </xf>
    <xf numFmtId="165" fontId="23" fillId="13" borderId="6" xfId="0" applyNumberFormat="1" applyFont="1" applyFill="1" applyBorder="1" applyAlignment="1" applyProtection="1">
      <alignment horizontal="center" vertical="center"/>
    </xf>
    <xf numFmtId="0" fontId="23" fillId="0" borderId="6" xfId="0" applyFont="1" applyBorder="1" applyAlignment="1" applyProtection="1">
      <alignment horizontal="center" vertical="center"/>
    </xf>
    <xf numFmtId="165" fontId="23" fillId="28" borderId="6" xfId="0" applyNumberFormat="1" applyFont="1" applyFill="1" applyBorder="1" applyAlignment="1" applyProtection="1">
      <alignment horizontal="center" vertical="center"/>
      <protection locked="0"/>
    </xf>
    <xf numFmtId="165" fontId="23" fillId="0" borderId="6" xfId="0" applyNumberFormat="1" applyFont="1" applyBorder="1" applyAlignment="1" applyProtection="1">
      <alignment horizontal="center" vertical="center"/>
    </xf>
    <xf numFmtId="0" fontId="24" fillId="4" borderId="6" xfId="0" applyFont="1" applyFill="1" applyBorder="1" applyAlignment="1" applyProtection="1">
      <alignment horizontal="center" vertical="center"/>
    </xf>
    <xf numFmtId="10" fontId="23" fillId="28" borderId="6" xfId="0" applyNumberFormat="1" applyFont="1" applyFill="1" applyBorder="1" applyAlignment="1" applyProtection="1">
      <alignment horizontal="center" vertical="center"/>
      <protection locked="0"/>
    </xf>
    <xf numFmtId="10" fontId="23" fillId="13" borderId="6"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14" fontId="23" fillId="28" borderId="6" xfId="0" applyNumberFormat="1" applyFont="1" applyFill="1" applyBorder="1" applyAlignment="1" applyProtection="1">
      <alignment horizontal="center"/>
      <protection locked="0"/>
    </xf>
    <xf numFmtId="0" fontId="23" fillId="28" borderId="6" xfId="0" applyFont="1" applyFill="1" applyBorder="1" applyAlignment="1" applyProtection="1">
      <alignment horizontal="center" vertical="center"/>
      <protection locked="0"/>
    </xf>
    <xf numFmtId="165" fontId="23" fillId="0" borderId="6" xfId="0" applyNumberFormat="1" applyFont="1" applyFill="1" applyBorder="1" applyAlignment="1" applyProtection="1">
      <alignment horizontal="center" vertical="center"/>
    </xf>
    <xf numFmtId="0" fontId="25" fillId="6" borderId="6" xfId="0" applyFont="1" applyFill="1" applyBorder="1" applyAlignment="1" applyProtection="1">
      <alignment horizontal="center" vertical="center"/>
    </xf>
    <xf numFmtId="0" fontId="47" fillId="0" borderId="6" xfId="0" applyFont="1" applyBorder="1" applyAlignment="1" applyProtection="1">
      <alignment horizontal="center" vertical="center"/>
    </xf>
    <xf numFmtId="0" fontId="47" fillId="0" borderId="6" xfId="0" applyFont="1" applyBorder="1" applyAlignment="1" applyProtection="1">
      <alignment horizontal="center" vertical="center" wrapText="1"/>
    </xf>
    <xf numFmtId="0" fontId="47" fillId="0" borderId="24" xfId="0" applyFont="1" applyBorder="1" applyAlignment="1" applyProtection="1">
      <alignment wrapText="1"/>
    </xf>
    <xf numFmtId="0" fontId="47" fillId="0" borderId="24" xfId="0" applyFont="1" applyBorder="1" applyAlignment="1" applyProtection="1">
      <alignment horizontal="center" vertical="center"/>
    </xf>
    <xf numFmtId="164" fontId="3" fillId="0" borderId="6" xfId="1" applyFont="1" applyBorder="1" applyAlignment="1" applyProtection="1">
      <alignment horizontal="center" vertical="center"/>
    </xf>
    <xf numFmtId="165" fontId="23" fillId="28" borderId="6" xfId="0" applyNumberFormat="1" applyFont="1" applyFill="1" applyBorder="1" applyAlignment="1" applyProtection="1">
      <alignment horizontal="center" vertical="center"/>
    </xf>
    <xf numFmtId="164" fontId="67" fillId="12" borderId="6" xfId="1" applyNumberFormat="1" applyFont="1" applyFill="1" applyBorder="1" applyAlignment="1" applyProtection="1">
      <alignment horizontal="center" vertical="center"/>
      <protection locked="0"/>
    </xf>
    <xf numFmtId="0" fontId="23" fillId="26" borderId="26" xfId="0" applyFont="1" applyFill="1" applyBorder="1" applyAlignment="1" applyProtection="1">
      <alignment horizontal="center" vertical="center"/>
    </xf>
    <xf numFmtId="0" fontId="23" fillId="0" borderId="7" xfId="0" applyFont="1" applyBorder="1" applyAlignment="1" applyProtection="1">
      <alignment horizontal="center" vertical="center"/>
    </xf>
    <xf numFmtId="0" fontId="23" fillId="0" borderId="24" xfId="0" applyFont="1" applyBorder="1" applyAlignment="1" applyProtection="1">
      <alignment horizontal="center" vertical="center"/>
    </xf>
    <xf numFmtId="0" fontId="23" fillId="9" borderId="24" xfId="0" applyFont="1" applyFill="1" applyBorder="1" applyAlignment="1" applyProtection="1">
      <alignment horizontal="center" vertical="center"/>
    </xf>
    <xf numFmtId="0" fontId="24" fillId="26" borderId="6" xfId="0" applyFont="1" applyFill="1" applyBorder="1" applyAlignment="1" applyProtection="1">
      <alignment horizontal="center" vertical="center"/>
    </xf>
    <xf numFmtId="164" fontId="26" fillId="0" borderId="24" xfId="1" applyFont="1" applyBorder="1" applyAlignment="1" applyProtection="1">
      <alignment horizontal="center" vertical="center"/>
    </xf>
    <xf numFmtId="0" fontId="23" fillId="0" borderId="6" xfId="0" applyFont="1" applyBorder="1" applyAlignment="1" applyProtection="1">
      <alignment horizontal="center" vertical="center"/>
    </xf>
    <xf numFmtId="0" fontId="23" fillId="0" borderId="6" xfId="0" applyFont="1" applyBorder="1" applyAlignment="1" applyProtection="1">
      <alignment horizontal="center"/>
    </xf>
    <xf numFmtId="0" fontId="23" fillId="0" borderId="6" xfId="0" applyFont="1" applyFill="1" applyBorder="1" applyAlignment="1" applyProtection="1">
      <alignment horizontal="center" vertical="center"/>
    </xf>
    <xf numFmtId="0" fontId="65" fillId="26" borderId="6" xfId="0" applyFont="1" applyFill="1" applyBorder="1" applyAlignment="1" applyProtection="1">
      <alignment horizontal="center"/>
    </xf>
    <xf numFmtId="164" fontId="67" fillId="26" borderId="25" xfId="1" applyFont="1" applyFill="1" applyBorder="1" applyAlignment="1" applyProtection="1">
      <alignment horizontal="center" vertical="center"/>
    </xf>
    <xf numFmtId="164" fontId="67" fillId="9" borderId="6" xfId="1" applyFont="1" applyFill="1" applyBorder="1" applyAlignment="1" applyProtection="1">
      <alignment horizontal="center" vertical="center"/>
    </xf>
    <xf numFmtId="0" fontId="23" fillId="26" borderId="7" xfId="0" applyFont="1" applyFill="1" applyBorder="1" applyAlignment="1" applyProtection="1">
      <alignment horizontal="center" vertical="center"/>
    </xf>
    <xf numFmtId="0" fontId="23" fillId="26" borderId="26" xfId="0" applyFont="1" applyFill="1" applyBorder="1" applyAlignment="1" applyProtection="1">
      <alignment horizontal="center" vertical="center"/>
    </xf>
    <xf numFmtId="0" fontId="23" fillId="26" borderId="24" xfId="0" applyFont="1" applyFill="1" applyBorder="1" applyAlignment="1" applyProtection="1">
      <alignment horizontal="center" vertical="center"/>
    </xf>
    <xf numFmtId="0" fontId="24" fillId="0" borderId="7" xfId="0" applyFont="1" applyBorder="1" applyAlignment="1" applyProtection="1">
      <alignment horizontal="center" vertical="center"/>
    </xf>
    <xf numFmtId="0" fontId="24" fillId="0" borderId="26" xfId="0" applyFont="1" applyBorder="1" applyAlignment="1" applyProtection="1">
      <alignment horizontal="center" vertical="center"/>
    </xf>
    <xf numFmtId="0" fontId="24" fillId="0" borderId="24" xfId="0" applyFont="1" applyBorder="1" applyAlignment="1" applyProtection="1">
      <alignment horizontal="center" vertical="center"/>
    </xf>
    <xf numFmtId="0" fontId="23" fillId="26" borderId="7" xfId="0" applyFont="1" applyFill="1" applyBorder="1" applyAlignment="1" applyProtection="1">
      <alignment horizontal="justify" vertical="center" wrapText="1"/>
    </xf>
    <xf numFmtId="0" fontId="23" fillId="26" borderId="26" xfId="0" applyFont="1" applyFill="1" applyBorder="1" applyAlignment="1" applyProtection="1">
      <alignment horizontal="justify" vertical="center" wrapText="1"/>
    </xf>
    <xf numFmtId="0" fontId="23" fillId="0" borderId="7" xfId="0" applyFont="1" applyBorder="1" applyAlignment="1" applyProtection="1">
      <alignment horizontal="center" vertical="center"/>
    </xf>
    <xf numFmtId="0" fontId="23" fillId="0" borderId="26" xfId="0" applyFont="1" applyBorder="1" applyAlignment="1" applyProtection="1">
      <alignment horizontal="center" vertical="center"/>
    </xf>
    <xf numFmtId="0" fontId="23" fillId="0" borderId="24" xfId="0" applyFont="1" applyBorder="1" applyAlignment="1" applyProtection="1">
      <alignment horizontal="center" vertical="center"/>
    </xf>
    <xf numFmtId="0" fontId="24" fillId="26" borderId="6" xfId="0" applyFont="1" applyFill="1" applyBorder="1" applyAlignment="1" applyProtection="1">
      <alignment horizontal="center"/>
    </xf>
    <xf numFmtId="0" fontId="23" fillId="26" borderId="24" xfId="0" applyFont="1" applyFill="1" applyBorder="1" applyAlignment="1" applyProtection="1">
      <alignment horizontal="justify" vertical="center" wrapText="1"/>
    </xf>
    <xf numFmtId="0" fontId="23" fillId="26" borderId="3" xfId="0" applyFont="1" applyFill="1" applyBorder="1" applyAlignment="1" applyProtection="1">
      <alignment horizontal="center" vertical="center" wrapText="1"/>
    </xf>
    <xf numFmtId="0" fontId="23" fillId="26" borderId="25" xfId="0" applyFont="1" applyFill="1" applyBorder="1" applyAlignment="1" applyProtection="1">
      <alignment horizontal="center" vertical="center" wrapText="1"/>
    </xf>
    <xf numFmtId="0" fontId="23" fillId="9" borderId="7" xfId="0" applyFont="1" applyFill="1" applyBorder="1" applyAlignment="1" applyProtection="1">
      <alignment horizontal="center" vertical="center"/>
    </xf>
    <xf numFmtId="0" fontId="23" fillId="9" borderId="26" xfId="0" applyFont="1" applyFill="1" applyBorder="1" applyAlignment="1" applyProtection="1">
      <alignment horizontal="center" vertical="center"/>
    </xf>
    <xf numFmtId="0" fontId="23" fillId="9" borderId="24" xfId="0" applyFont="1" applyFill="1" applyBorder="1" applyAlignment="1" applyProtection="1">
      <alignment horizontal="center" vertical="center"/>
    </xf>
    <xf numFmtId="0" fontId="60" fillId="26" borderId="2" xfId="0" applyFont="1" applyFill="1" applyBorder="1" applyAlignment="1" applyProtection="1">
      <alignment horizontal="center" vertical="center"/>
    </xf>
    <xf numFmtId="0" fontId="60" fillId="26" borderId="25" xfId="0" applyFont="1" applyFill="1" applyBorder="1" applyAlignment="1" applyProtection="1">
      <alignment horizontal="center" vertical="center"/>
    </xf>
    <xf numFmtId="0" fontId="60" fillId="0" borderId="2" xfId="0" applyFont="1" applyBorder="1" applyAlignment="1" applyProtection="1">
      <alignment horizontal="center" vertical="center"/>
    </xf>
    <xf numFmtId="0" fontId="60" fillId="0" borderId="25" xfId="0" applyFont="1" applyBorder="1" applyAlignment="1" applyProtection="1">
      <alignment horizontal="center" vertical="center"/>
    </xf>
    <xf numFmtId="0" fontId="55" fillId="0" borderId="2" xfId="0" applyFont="1" applyBorder="1" applyAlignment="1" applyProtection="1">
      <alignment horizontal="center"/>
    </xf>
    <xf numFmtId="0" fontId="55" fillId="0" borderId="3" xfId="0" applyFont="1" applyBorder="1" applyAlignment="1" applyProtection="1">
      <alignment horizontal="center"/>
    </xf>
    <xf numFmtId="0" fontId="55" fillId="0" borderId="25" xfId="0" applyFont="1" applyBorder="1" applyAlignment="1" applyProtection="1">
      <alignment horizontal="center"/>
    </xf>
    <xf numFmtId="0" fontId="24" fillId="26" borderId="6" xfId="0" applyFont="1" applyFill="1" applyBorder="1" applyAlignment="1" applyProtection="1">
      <alignment horizontal="center" vertical="center"/>
    </xf>
    <xf numFmtId="164" fontId="26" fillId="0" borderId="7" xfId="1" applyFont="1" applyBorder="1" applyAlignment="1" applyProtection="1">
      <alignment horizontal="center" vertical="center"/>
    </xf>
    <xf numFmtId="164" fontId="26" fillId="0" borderId="26" xfId="1" applyFont="1" applyBorder="1" applyAlignment="1" applyProtection="1">
      <alignment horizontal="center" vertical="center"/>
    </xf>
    <xf numFmtId="164" fontId="26" fillId="0" borderId="24" xfId="1" applyFont="1" applyBorder="1" applyAlignment="1" applyProtection="1">
      <alignment horizontal="center" vertical="center"/>
    </xf>
    <xf numFmtId="0" fontId="41" fillId="0" borderId="6" xfId="0" applyFont="1" applyBorder="1" applyAlignment="1" applyProtection="1">
      <alignment horizontal="center"/>
    </xf>
    <xf numFmtId="0" fontId="24" fillId="5" borderId="6" xfId="0" applyFont="1" applyFill="1" applyBorder="1" applyAlignment="1" applyProtection="1">
      <alignment horizontal="center" vertical="center"/>
    </xf>
    <xf numFmtId="0" fontId="36" fillId="30" borderId="6" xfId="0" applyFont="1" applyFill="1" applyBorder="1" applyAlignment="1" applyProtection="1">
      <alignment horizontal="center" vertical="center"/>
    </xf>
    <xf numFmtId="171" fontId="28" fillId="9" borderId="0" xfId="0" applyNumberFormat="1" applyFont="1" applyFill="1" applyBorder="1" applyAlignment="1" applyProtection="1">
      <alignment horizontal="left" vertical="center"/>
    </xf>
    <xf numFmtId="165" fontId="23" fillId="13" borderId="6" xfId="0" applyNumberFormat="1" applyFont="1" applyFill="1" applyBorder="1" applyAlignment="1" applyProtection="1">
      <alignment horizontal="center" vertical="center"/>
    </xf>
    <xf numFmtId="0" fontId="23" fillId="0" borderId="6" xfId="0" applyFont="1" applyBorder="1" applyAlignment="1" applyProtection="1">
      <alignment horizontal="center" vertical="center"/>
    </xf>
    <xf numFmtId="165" fontId="23" fillId="28" borderId="6" xfId="0" applyNumberFormat="1" applyFont="1" applyFill="1" applyBorder="1" applyAlignment="1" applyProtection="1">
      <alignment horizontal="center" vertical="center"/>
      <protection locked="0"/>
    </xf>
    <xf numFmtId="165" fontId="23" fillId="0" borderId="6" xfId="0" applyNumberFormat="1" applyFont="1" applyBorder="1" applyAlignment="1" applyProtection="1">
      <alignment horizontal="center" vertical="center"/>
    </xf>
    <xf numFmtId="0" fontId="23" fillId="0" borderId="6" xfId="0" applyFont="1" applyBorder="1" applyAlignment="1" applyProtection="1">
      <alignment vertical="center"/>
    </xf>
    <xf numFmtId="0" fontId="29" fillId="0" borderId="9" xfId="0" applyFont="1" applyFill="1" applyBorder="1" applyAlignment="1" applyProtection="1">
      <alignment horizontal="left" vertical="center" wrapText="1"/>
    </xf>
    <xf numFmtId="0" fontId="29" fillId="0" borderId="5" xfId="0" applyFont="1" applyFill="1" applyBorder="1" applyAlignment="1" applyProtection="1">
      <alignment horizontal="left" vertical="center" wrapText="1"/>
    </xf>
    <xf numFmtId="0" fontId="29" fillId="0" borderId="10" xfId="0" applyFont="1" applyFill="1" applyBorder="1" applyAlignment="1" applyProtection="1">
      <alignment horizontal="left" vertical="center" wrapText="1"/>
    </xf>
    <xf numFmtId="0" fontId="29" fillId="0" borderId="11" xfId="0" applyFont="1" applyFill="1" applyBorder="1" applyAlignment="1" applyProtection="1">
      <alignment horizontal="left" vertical="center" wrapText="1"/>
    </xf>
    <xf numFmtId="0" fontId="29" fillId="0" borderId="0" xfId="0" applyFont="1" applyFill="1" applyBorder="1" applyAlignment="1" applyProtection="1">
      <alignment horizontal="left" vertical="center" wrapText="1"/>
    </xf>
    <xf numFmtId="0" fontId="29" fillId="0" borderId="12" xfId="0" applyFont="1" applyFill="1" applyBorder="1" applyAlignment="1" applyProtection="1">
      <alignment horizontal="left" vertical="center" wrapText="1"/>
    </xf>
    <xf numFmtId="0" fontId="29" fillId="0" borderId="16" xfId="0" applyFont="1" applyFill="1" applyBorder="1" applyAlignment="1" applyProtection="1">
      <alignment horizontal="left" vertical="center" wrapText="1"/>
    </xf>
    <xf numFmtId="0" fontId="29" fillId="0" borderId="8" xfId="0" applyFont="1" applyFill="1" applyBorder="1" applyAlignment="1" applyProtection="1">
      <alignment horizontal="left" vertical="center" wrapText="1"/>
    </xf>
    <xf numFmtId="0" fontId="29" fillId="0" borderId="17" xfId="0" applyFont="1" applyFill="1" applyBorder="1" applyAlignment="1" applyProtection="1">
      <alignment horizontal="left" vertical="center" wrapText="1"/>
    </xf>
    <xf numFmtId="0" fontId="24" fillId="4" borderId="6" xfId="0" applyFont="1" applyFill="1" applyBorder="1" applyAlignment="1" applyProtection="1">
      <alignment horizontal="center" vertical="center"/>
    </xf>
    <xf numFmtId="168" fontId="23" fillId="13" borderId="6" xfId="0" applyNumberFormat="1" applyFont="1" applyFill="1" applyBorder="1" applyAlignment="1" applyProtection="1">
      <alignment horizontal="center" vertical="center"/>
    </xf>
    <xf numFmtId="0" fontId="26" fillId="0" borderId="6" xfId="0" applyFont="1" applyFill="1" applyBorder="1" applyAlignment="1" applyProtection="1">
      <alignment horizontal="center" vertical="center" wrapText="1"/>
    </xf>
    <xf numFmtId="0" fontId="24" fillId="2" borderId="6" xfId="0" applyFont="1" applyFill="1" applyBorder="1" applyAlignment="1" applyProtection="1">
      <alignment horizontal="center" vertical="center"/>
    </xf>
    <xf numFmtId="0" fontId="29" fillId="0" borderId="9" xfId="0" applyFont="1" applyFill="1" applyBorder="1" applyAlignment="1" applyProtection="1">
      <alignment horizontal="left" wrapText="1"/>
    </xf>
    <xf numFmtId="0" fontId="29" fillId="0" borderId="5" xfId="0" applyFont="1" applyFill="1" applyBorder="1" applyAlignment="1" applyProtection="1">
      <alignment horizontal="left" wrapText="1"/>
    </xf>
    <xf numFmtId="0" fontId="29" fillId="0" borderId="10" xfId="0" applyFont="1" applyFill="1" applyBorder="1" applyAlignment="1" applyProtection="1">
      <alignment horizontal="left" wrapText="1"/>
    </xf>
    <xf numFmtId="0" fontId="29" fillId="0" borderId="11" xfId="0" applyFont="1" applyFill="1" applyBorder="1" applyAlignment="1" applyProtection="1">
      <alignment horizontal="left" wrapText="1"/>
    </xf>
    <xf numFmtId="0" fontId="29" fillId="0" borderId="0" xfId="0" applyFont="1" applyFill="1" applyBorder="1" applyAlignment="1" applyProtection="1">
      <alignment horizontal="left" wrapText="1"/>
    </xf>
    <xf numFmtId="0" fontId="29" fillId="0" borderId="12" xfId="0" applyFont="1" applyFill="1" applyBorder="1" applyAlignment="1" applyProtection="1">
      <alignment horizontal="left" wrapText="1"/>
    </xf>
    <xf numFmtId="0" fontId="29" fillId="0" borderId="16" xfId="0" applyFont="1" applyFill="1" applyBorder="1" applyAlignment="1" applyProtection="1">
      <alignment horizontal="left" wrapText="1"/>
    </xf>
    <xf numFmtId="0" fontId="29" fillId="0" borderId="8" xfId="0" applyFont="1" applyFill="1" applyBorder="1" applyAlignment="1" applyProtection="1">
      <alignment horizontal="left" wrapText="1"/>
    </xf>
    <xf numFmtId="0" fontId="29" fillId="0" borderId="17" xfId="0" applyFont="1" applyFill="1" applyBorder="1" applyAlignment="1" applyProtection="1">
      <alignment horizontal="left" wrapText="1"/>
    </xf>
    <xf numFmtId="0" fontId="23" fillId="17" borderId="6" xfId="0" applyFont="1" applyFill="1" applyBorder="1" applyAlignment="1" applyProtection="1">
      <alignment horizontal="left" vertical="center"/>
    </xf>
    <xf numFmtId="0" fontId="24" fillId="16" borderId="6" xfId="0" applyFont="1" applyFill="1" applyBorder="1" applyAlignment="1" applyProtection="1">
      <alignment horizontal="center" vertical="center"/>
    </xf>
    <xf numFmtId="10" fontId="23" fillId="28" borderId="6" xfId="0" applyNumberFormat="1" applyFont="1" applyFill="1" applyBorder="1" applyAlignment="1" applyProtection="1">
      <alignment horizontal="center" vertical="center"/>
      <protection locked="0"/>
    </xf>
    <xf numFmtId="10" fontId="23" fillId="13" borderId="6" xfId="0" applyNumberFormat="1" applyFont="1" applyFill="1" applyBorder="1" applyAlignment="1" applyProtection="1">
      <alignment horizontal="center" vertical="center"/>
    </xf>
    <xf numFmtId="0" fontId="24" fillId="23" borderId="6" xfId="0" applyFont="1" applyFill="1" applyBorder="1" applyAlignment="1" applyProtection="1">
      <alignment horizontal="center" vertical="center"/>
    </xf>
    <xf numFmtId="0" fontId="23" fillId="7" borderId="6" xfId="0" applyFont="1" applyFill="1" applyBorder="1" applyAlignment="1" applyProtection="1">
      <alignment horizontal="center"/>
    </xf>
    <xf numFmtId="0" fontId="23" fillId="2" borderId="6" xfId="0" applyFont="1" applyFill="1" applyBorder="1" applyAlignment="1" applyProtection="1">
      <alignment horizontal="center" vertical="center"/>
    </xf>
    <xf numFmtId="0" fontId="24" fillId="0" borderId="6" xfId="0" applyFont="1" applyBorder="1" applyAlignment="1" applyProtection="1">
      <alignment horizontal="center" vertical="center"/>
    </xf>
    <xf numFmtId="0" fontId="23" fillId="0" borderId="6" xfId="0" applyFont="1" applyFill="1" applyBorder="1" applyAlignment="1" applyProtection="1">
      <alignment horizontal="left" vertical="center"/>
    </xf>
    <xf numFmtId="0" fontId="24" fillId="10" borderId="6" xfId="0" applyFont="1" applyFill="1" applyBorder="1" applyAlignment="1" applyProtection="1">
      <alignment horizontal="center" vertical="center"/>
    </xf>
    <xf numFmtId="0" fontId="26" fillId="0" borderId="6" xfId="0" applyFont="1" applyBorder="1" applyAlignment="1" applyProtection="1">
      <alignment horizontal="center" vertical="center" wrapText="1"/>
    </xf>
    <xf numFmtId="0" fontId="23" fillId="0" borderId="6" xfId="0" applyFont="1" applyBorder="1" applyAlignment="1" applyProtection="1">
      <alignment horizontal="left" vertical="center"/>
    </xf>
    <xf numFmtId="0" fontId="23" fillId="28" borderId="6" xfId="0" applyFont="1" applyFill="1" applyBorder="1" applyAlignment="1" applyProtection="1">
      <alignment vertical="center"/>
      <protection locked="0"/>
    </xf>
    <xf numFmtId="0" fontId="29" fillId="19" borderId="6" xfId="0" applyFont="1" applyFill="1" applyBorder="1" applyAlignment="1" applyProtection="1">
      <alignment horizontal="center" vertical="center"/>
    </xf>
    <xf numFmtId="0" fontId="23" fillId="0" borderId="6" xfId="0" applyFont="1" applyBorder="1" applyAlignment="1" applyProtection="1">
      <alignment horizontal="center"/>
    </xf>
    <xf numFmtId="0" fontId="23" fillId="2" borderId="6" xfId="0" applyFont="1" applyFill="1" applyBorder="1" applyAlignment="1" applyProtection="1">
      <alignment horizontal="center"/>
    </xf>
    <xf numFmtId="0" fontId="23" fillId="18" borderId="6" xfId="0" applyFont="1" applyFill="1" applyBorder="1" applyAlignment="1" applyProtection="1">
      <alignment horizontal="center" vertical="center"/>
    </xf>
    <xf numFmtId="14" fontId="23" fillId="28" borderId="6" xfId="0" applyNumberFormat="1" applyFont="1" applyFill="1" applyBorder="1" applyAlignment="1" applyProtection="1">
      <alignment horizontal="center"/>
      <protection locked="0"/>
    </xf>
    <xf numFmtId="168" fontId="26" fillId="0" borderId="6" xfId="1" applyNumberFormat="1" applyFont="1" applyFill="1" applyBorder="1" applyAlignment="1" applyProtection="1">
      <alignment horizontal="center" vertical="center"/>
    </xf>
    <xf numFmtId="10" fontId="23" fillId="28" borderId="6" xfId="0" applyNumberFormat="1" applyFont="1" applyFill="1" applyBorder="1" applyAlignment="1" applyProtection="1">
      <alignment horizontal="center"/>
      <protection locked="0"/>
    </xf>
    <xf numFmtId="0" fontId="23" fillId="28" borderId="6" xfId="0" applyFont="1" applyFill="1" applyBorder="1" applyAlignment="1" applyProtection="1">
      <alignment horizontal="center" vertical="center"/>
      <protection locked="0"/>
    </xf>
    <xf numFmtId="0" fontId="26" fillId="0" borderId="6" xfId="0" applyFont="1" applyFill="1" applyBorder="1" applyAlignment="1" applyProtection="1">
      <alignment horizontal="left" vertical="center"/>
    </xf>
    <xf numFmtId="10" fontId="24" fillId="5" borderId="6" xfId="0" applyNumberFormat="1" applyFont="1" applyFill="1" applyBorder="1" applyAlignment="1" applyProtection="1">
      <alignment horizontal="center" vertical="center"/>
    </xf>
    <xf numFmtId="0" fontId="23" fillId="5" borderId="6" xfId="0" applyFont="1" applyFill="1" applyBorder="1" applyAlignment="1" applyProtection="1">
      <alignment horizontal="center" vertical="center"/>
    </xf>
    <xf numFmtId="0" fontId="36" fillId="5" borderId="6" xfId="0" applyFont="1" applyFill="1" applyBorder="1" applyAlignment="1" applyProtection="1">
      <alignment horizontal="center" vertical="center"/>
    </xf>
    <xf numFmtId="165" fontId="23" fillId="0" borderId="6" xfId="0" applyNumberFormat="1" applyFont="1" applyFill="1" applyBorder="1" applyAlignment="1" applyProtection="1">
      <alignment horizontal="center" vertical="center"/>
    </xf>
    <xf numFmtId="0" fontId="23" fillId="0" borderId="6" xfId="0" applyFont="1" applyFill="1" applyBorder="1" applyAlignment="1" applyProtection="1">
      <alignment horizontal="center" vertical="center"/>
    </xf>
    <xf numFmtId="168" fontId="23" fillId="28" borderId="6" xfId="0" applyNumberFormat="1" applyFont="1" applyFill="1" applyBorder="1" applyAlignment="1" applyProtection="1">
      <alignment horizontal="center" vertical="center"/>
      <protection locked="0"/>
    </xf>
    <xf numFmtId="0" fontId="37" fillId="9" borderId="9" xfId="0" applyFont="1" applyFill="1" applyBorder="1" applyAlignment="1" applyProtection="1">
      <alignment vertical="center" wrapText="1"/>
    </xf>
    <xf numFmtId="0" fontId="37" fillId="9" borderId="5" xfId="0" applyFont="1" applyFill="1" applyBorder="1" applyAlignment="1" applyProtection="1">
      <alignment vertical="center" wrapText="1"/>
    </xf>
    <xf numFmtId="0" fontId="37" fillId="9" borderId="10" xfId="0" applyFont="1" applyFill="1" applyBorder="1" applyAlignment="1" applyProtection="1">
      <alignment vertical="center" wrapText="1"/>
    </xf>
    <xf numFmtId="0" fontId="37" fillId="9" borderId="16" xfId="0" applyFont="1" applyFill="1" applyBorder="1" applyAlignment="1" applyProtection="1">
      <alignment vertical="center" wrapText="1"/>
    </xf>
    <xf numFmtId="0" fontId="37" fillId="9" borderId="8" xfId="0" applyFont="1" applyFill="1" applyBorder="1" applyAlignment="1" applyProtection="1">
      <alignment vertical="center" wrapText="1"/>
    </xf>
    <xf numFmtId="0" fontId="37" fillId="9" borderId="17" xfId="0" applyFont="1" applyFill="1" applyBorder="1" applyAlignment="1" applyProtection="1">
      <alignment vertical="center" wrapText="1"/>
    </xf>
    <xf numFmtId="0" fontId="29" fillId="0" borderId="9" xfId="0" applyFont="1" applyFill="1" applyBorder="1" applyAlignment="1" applyProtection="1">
      <alignment horizontal="center" vertical="center" wrapText="1"/>
    </xf>
    <xf numFmtId="0" fontId="29" fillId="0" borderId="5" xfId="0" applyFont="1" applyFill="1" applyBorder="1" applyAlignment="1" applyProtection="1">
      <alignment horizontal="center" vertical="center" wrapText="1"/>
    </xf>
    <xf numFmtId="0" fontId="29" fillId="0" borderId="10" xfId="0" applyFont="1" applyFill="1" applyBorder="1" applyAlignment="1" applyProtection="1">
      <alignment horizontal="center" vertical="center" wrapText="1"/>
    </xf>
    <xf numFmtId="0" fontId="29" fillId="0" borderId="11" xfId="0" applyFont="1" applyFill="1" applyBorder="1" applyAlignment="1" applyProtection="1">
      <alignment horizontal="center" vertical="center" wrapText="1"/>
    </xf>
    <xf numFmtId="0" fontId="29" fillId="0" borderId="0" xfId="0" applyFont="1" applyFill="1" applyBorder="1" applyAlignment="1" applyProtection="1">
      <alignment horizontal="center" vertical="center" wrapText="1"/>
    </xf>
    <xf numFmtId="0" fontId="29" fillId="0" borderId="12" xfId="0" applyFont="1" applyFill="1" applyBorder="1" applyAlignment="1" applyProtection="1">
      <alignment horizontal="center" vertical="center" wrapText="1"/>
    </xf>
    <xf numFmtId="0" fontId="29" fillId="0" borderId="16" xfId="0" applyFont="1" applyFill="1" applyBorder="1" applyAlignment="1" applyProtection="1">
      <alignment horizontal="center" vertical="center" wrapText="1"/>
    </xf>
    <xf numFmtId="0" fontId="29" fillId="0" borderId="8" xfId="0" applyFont="1" applyFill="1" applyBorder="1" applyAlignment="1" applyProtection="1">
      <alignment horizontal="center" vertical="center" wrapText="1"/>
    </xf>
    <xf numFmtId="0" fontId="29" fillId="0" borderId="17" xfId="0" applyFont="1" applyFill="1" applyBorder="1" applyAlignment="1" applyProtection="1">
      <alignment horizontal="center" vertical="center" wrapText="1"/>
    </xf>
    <xf numFmtId="0" fontId="38" fillId="9" borderId="9" xfId="0" applyFont="1" applyFill="1" applyBorder="1" applyAlignment="1" applyProtection="1">
      <alignment horizontal="left" vertical="center" wrapText="1"/>
    </xf>
    <xf numFmtId="0" fontId="38" fillId="9" borderId="5" xfId="0" applyFont="1" applyFill="1" applyBorder="1" applyAlignment="1" applyProtection="1">
      <alignment horizontal="left" vertical="center" wrapText="1"/>
    </xf>
    <xf numFmtId="0" fontId="38" fillId="9" borderId="10" xfId="0" applyFont="1" applyFill="1" applyBorder="1" applyAlignment="1" applyProtection="1">
      <alignment horizontal="left" vertical="center" wrapText="1"/>
    </xf>
    <xf numFmtId="0" fontId="38" fillId="9" borderId="16" xfId="0" applyFont="1" applyFill="1" applyBorder="1" applyAlignment="1" applyProtection="1">
      <alignment horizontal="left" vertical="center" wrapText="1"/>
    </xf>
    <xf numFmtId="0" fontId="38" fillId="9" borderId="8" xfId="0" applyFont="1" applyFill="1" applyBorder="1" applyAlignment="1" applyProtection="1">
      <alignment horizontal="left" vertical="center" wrapText="1"/>
    </xf>
    <xf numFmtId="0" fontId="38" fillId="9" borderId="17" xfId="0" applyFont="1" applyFill="1" applyBorder="1" applyAlignment="1" applyProtection="1">
      <alignment horizontal="left" vertical="center" wrapText="1"/>
    </xf>
    <xf numFmtId="0" fontId="29" fillId="0" borderId="2" xfId="0" applyFont="1" applyFill="1" applyBorder="1" applyAlignment="1" applyProtection="1">
      <alignment horizontal="left" vertical="center" wrapText="1"/>
    </xf>
    <xf numFmtId="0" fontId="29" fillId="0" borderId="3" xfId="0" applyFont="1" applyFill="1" applyBorder="1" applyAlignment="1" applyProtection="1">
      <alignment horizontal="left" vertical="center" wrapText="1"/>
    </xf>
    <xf numFmtId="0" fontId="29" fillId="0" borderId="4" xfId="0" applyFont="1" applyFill="1" applyBorder="1" applyAlignment="1" applyProtection="1">
      <alignment horizontal="left" vertical="center" wrapText="1"/>
    </xf>
    <xf numFmtId="0" fontId="24" fillId="15" borderId="6" xfId="0" applyFont="1" applyFill="1" applyBorder="1" applyAlignment="1" applyProtection="1">
      <alignment horizontal="center" vertical="center"/>
    </xf>
    <xf numFmtId="0" fontId="24" fillId="8" borderId="6" xfId="0" applyFont="1" applyFill="1" applyBorder="1" applyAlignment="1" applyProtection="1">
      <alignment horizontal="center" vertical="center"/>
    </xf>
    <xf numFmtId="0" fontId="59" fillId="12" borderId="6" xfId="0" applyFont="1" applyFill="1" applyBorder="1" applyAlignment="1" applyProtection="1">
      <alignment horizontal="center"/>
    </xf>
    <xf numFmtId="0" fontId="29" fillId="0" borderId="6" xfId="0" applyFont="1" applyFill="1" applyBorder="1" applyAlignment="1" applyProtection="1">
      <alignment horizontal="left" vertical="center" wrapText="1"/>
    </xf>
    <xf numFmtId="0" fontId="25" fillId="6" borderId="6" xfId="0" applyFont="1" applyFill="1" applyBorder="1" applyAlignment="1" applyProtection="1">
      <alignment horizontal="center" vertical="center"/>
    </xf>
    <xf numFmtId="0" fontId="23" fillId="0" borderId="18" xfId="0" applyFont="1" applyBorder="1" applyAlignment="1" applyProtection="1">
      <alignment horizontal="center"/>
    </xf>
    <xf numFmtId="10" fontId="24" fillId="0" borderId="6" xfId="0" applyNumberFormat="1" applyFont="1" applyBorder="1" applyAlignment="1" applyProtection="1">
      <alignment horizontal="center" vertical="center"/>
    </xf>
    <xf numFmtId="10" fontId="23" fillId="10" borderId="6" xfId="0" applyNumberFormat="1" applyFont="1" applyFill="1" applyBorder="1" applyAlignment="1" applyProtection="1">
      <alignment horizontal="center" vertical="center"/>
    </xf>
    <xf numFmtId="10" fontId="29" fillId="4" borderId="6" xfId="0" applyNumberFormat="1" applyFont="1" applyFill="1" applyBorder="1" applyAlignment="1" applyProtection="1">
      <alignment horizontal="center" vertical="center"/>
    </xf>
    <xf numFmtId="0" fontId="24" fillId="22" borderId="6" xfId="0" applyFont="1" applyFill="1" applyBorder="1" applyAlignment="1" applyProtection="1">
      <alignment horizontal="center" vertical="center"/>
    </xf>
    <xf numFmtId="0" fontId="36" fillId="30" borderId="1" xfId="0" applyFont="1" applyFill="1" applyBorder="1" applyAlignment="1" applyProtection="1">
      <alignment horizontal="center" vertical="center"/>
    </xf>
    <xf numFmtId="0" fontId="24" fillId="0" borderId="6" xfId="0" applyFont="1" applyBorder="1" applyAlignment="1" applyProtection="1">
      <alignment horizontal="center" vertical="center" wrapText="1"/>
    </xf>
    <xf numFmtId="1" fontId="23" fillId="28" borderId="6" xfId="0" applyNumberFormat="1" applyFont="1" applyFill="1" applyBorder="1" applyAlignment="1" applyProtection="1">
      <alignment horizontal="center" vertical="center"/>
      <protection locked="0"/>
    </xf>
    <xf numFmtId="0" fontId="24" fillId="24" borderId="6" xfId="0" applyFont="1" applyFill="1" applyBorder="1" applyAlignment="1" applyProtection="1">
      <alignment horizontal="center" vertical="center"/>
    </xf>
    <xf numFmtId="10" fontId="23" fillId="0" borderId="6" xfId="0" applyNumberFormat="1" applyFont="1" applyBorder="1" applyAlignment="1" applyProtection="1">
      <alignment horizontal="center" vertical="center"/>
    </xf>
    <xf numFmtId="0" fontId="24" fillId="30" borderId="6" xfId="0" applyFont="1" applyFill="1" applyBorder="1" applyAlignment="1" applyProtection="1">
      <alignment horizontal="center" vertical="center"/>
    </xf>
    <xf numFmtId="0" fontId="23" fillId="18" borderId="1" xfId="0" applyFont="1" applyFill="1" applyBorder="1" applyAlignment="1">
      <alignment horizontal="center" vertical="center"/>
    </xf>
    <xf numFmtId="0" fontId="23" fillId="17" borderId="13" xfId="0" applyFont="1" applyFill="1" applyBorder="1" applyAlignment="1">
      <alignment horizontal="left" vertical="center"/>
    </xf>
    <xf numFmtId="0" fontId="23" fillId="17" borderId="14" xfId="0" applyFont="1" applyFill="1" applyBorder="1" applyAlignment="1">
      <alignment horizontal="left" vertical="center"/>
    </xf>
    <xf numFmtId="0" fontId="23" fillId="17" borderId="15" xfId="0" applyFont="1" applyFill="1" applyBorder="1" applyAlignment="1">
      <alignment horizontal="left" vertical="center"/>
    </xf>
    <xf numFmtId="0" fontId="23" fillId="2" borderId="18" xfId="0" applyFont="1" applyFill="1" applyBorder="1" applyAlignment="1">
      <alignment horizontal="center"/>
    </xf>
    <xf numFmtId="0" fontId="23" fillId="7" borderId="1" xfId="0" applyFont="1" applyFill="1" applyBorder="1" applyAlignment="1">
      <alignment horizontal="center"/>
    </xf>
    <xf numFmtId="0" fontId="24" fillId="19" borderId="21" xfId="0" applyFont="1" applyFill="1" applyBorder="1" applyAlignment="1">
      <alignment horizontal="center" vertical="center"/>
    </xf>
    <xf numFmtId="0" fontId="24" fillId="19" borderId="22" xfId="0" applyFont="1" applyFill="1" applyBorder="1" applyAlignment="1">
      <alignment horizontal="center" vertical="center"/>
    </xf>
    <xf numFmtId="0" fontId="24" fillId="19" borderId="23" xfId="0" applyFont="1" applyFill="1" applyBorder="1" applyAlignment="1">
      <alignment horizontal="center" vertical="center"/>
    </xf>
    <xf numFmtId="0" fontId="23" fillId="0" borderId="18" xfId="0" applyFont="1" applyBorder="1" applyAlignment="1">
      <alignment horizontal="center"/>
    </xf>
    <xf numFmtId="0" fontId="23" fillId="0" borderId="1" xfId="0" applyFont="1" applyBorder="1" applyAlignment="1">
      <alignment horizontal="left" vertical="center"/>
    </xf>
    <xf numFmtId="0" fontId="23" fillId="0" borderId="1" xfId="0" applyFont="1" applyBorder="1" applyAlignment="1">
      <alignment vertical="center"/>
    </xf>
    <xf numFmtId="0" fontId="24" fillId="4" borderId="1" xfId="0" applyFont="1" applyFill="1" applyBorder="1" applyAlignment="1">
      <alignment horizontal="center" vertical="center"/>
    </xf>
    <xf numFmtId="0" fontId="23" fillId="0" borderId="1" xfId="0" applyFont="1" applyBorder="1" applyAlignment="1">
      <alignment horizontal="center" vertical="center"/>
    </xf>
    <xf numFmtId="0" fontId="23" fillId="0" borderId="13" xfId="0" applyFont="1" applyBorder="1" applyAlignment="1">
      <alignment horizontal="left" vertical="center"/>
    </xf>
    <xf numFmtId="0" fontId="23" fillId="0" borderId="14" xfId="0" applyFont="1" applyBorder="1" applyAlignment="1">
      <alignment horizontal="left" vertical="center"/>
    </xf>
    <xf numFmtId="0" fontId="23" fillId="0" borderId="15" xfId="0" applyFont="1" applyBorder="1" applyAlignment="1">
      <alignment horizontal="left" vertical="center"/>
    </xf>
    <xf numFmtId="168" fontId="23" fillId="3" borderId="1" xfId="0" applyNumberFormat="1" applyFont="1" applyFill="1" applyBorder="1" applyAlignment="1">
      <alignment horizontal="center" vertical="center"/>
    </xf>
    <xf numFmtId="0" fontId="29" fillId="0" borderId="9"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10" xfId="0" applyFont="1" applyFill="1" applyBorder="1" applyAlignment="1">
      <alignment horizontal="left" vertical="center" wrapText="1"/>
    </xf>
    <xf numFmtId="0" fontId="29" fillId="0" borderId="11"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12" xfId="0" applyFont="1" applyFill="1" applyBorder="1" applyAlignment="1">
      <alignment horizontal="left" vertical="center" wrapText="1"/>
    </xf>
    <xf numFmtId="0" fontId="29" fillId="0" borderId="16"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17" xfId="0" applyFont="1" applyFill="1" applyBorder="1" applyAlignment="1">
      <alignment horizontal="left" vertical="center" wrapText="1"/>
    </xf>
    <xf numFmtId="168" fontId="26" fillId="0" borderId="1" xfId="1" applyNumberFormat="1" applyFont="1" applyFill="1" applyBorder="1" applyAlignment="1">
      <alignment horizontal="center" vertical="center"/>
    </xf>
    <xf numFmtId="0" fontId="23" fillId="3" borderId="1" xfId="0" applyFont="1" applyFill="1" applyBorder="1" applyAlignment="1">
      <alignment vertical="center"/>
    </xf>
    <xf numFmtId="0" fontId="26" fillId="0" borderId="1" xfId="0" applyFont="1" applyBorder="1" applyAlignment="1">
      <alignment horizontal="center" vertical="center" wrapText="1"/>
    </xf>
    <xf numFmtId="0" fontId="26" fillId="0" borderId="1" xfId="0" applyFont="1" applyFill="1" applyBorder="1" applyAlignment="1">
      <alignment horizontal="center" vertical="center" wrapText="1"/>
    </xf>
    <xf numFmtId="0" fontId="29" fillId="0" borderId="9" xfId="0" applyFont="1" applyFill="1" applyBorder="1" applyAlignment="1">
      <alignment horizontal="left" wrapText="1"/>
    </xf>
    <xf numFmtId="0" fontId="29" fillId="0" borderId="5" xfId="0" applyFont="1" applyFill="1" applyBorder="1" applyAlignment="1">
      <alignment horizontal="left" wrapText="1"/>
    </xf>
    <xf numFmtId="0" fontId="29" fillId="0" borderId="10" xfId="0" applyFont="1" applyFill="1" applyBorder="1" applyAlignment="1">
      <alignment horizontal="left" wrapText="1"/>
    </xf>
    <xf numFmtId="0" fontId="29" fillId="0" borderId="11" xfId="0" applyFont="1" applyFill="1" applyBorder="1" applyAlignment="1">
      <alignment horizontal="left" wrapText="1"/>
    </xf>
    <xf numFmtId="0" fontId="29" fillId="0" borderId="0" xfId="0" applyFont="1" applyFill="1" applyBorder="1" applyAlignment="1">
      <alignment horizontal="left" wrapText="1"/>
    </xf>
    <xf numFmtId="0" fontId="29" fillId="0" borderId="12" xfId="0" applyFont="1" applyFill="1" applyBorder="1" applyAlignment="1">
      <alignment horizontal="left" wrapText="1"/>
    </xf>
    <xf numFmtId="0" fontId="29" fillId="0" borderId="16" xfId="0" applyFont="1" applyFill="1" applyBorder="1" applyAlignment="1">
      <alignment horizontal="left" wrapText="1"/>
    </xf>
    <xf numFmtId="0" fontId="29" fillId="0" borderId="8" xfId="0" applyFont="1" applyFill="1" applyBorder="1" applyAlignment="1">
      <alignment horizontal="left" wrapText="1"/>
    </xf>
    <xf numFmtId="0" fontId="29" fillId="0" borderId="17" xfId="0" applyFont="1" applyFill="1" applyBorder="1" applyAlignment="1">
      <alignment horizontal="left" wrapText="1"/>
    </xf>
    <xf numFmtId="10" fontId="23" fillId="0" borderId="1" xfId="0" applyNumberFormat="1" applyFont="1" applyBorder="1" applyAlignment="1">
      <alignment horizontal="center" vertical="center"/>
    </xf>
    <xf numFmtId="0" fontId="26" fillId="0" borderId="1" xfId="0" applyFont="1" applyFill="1" applyBorder="1" applyAlignment="1">
      <alignment horizontal="left" vertical="center"/>
    </xf>
    <xf numFmtId="10" fontId="23" fillId="0" borderId="1" xfId="0" applyNumberFormat="1" applyFont="1" applyFill="1" applyBorder="1" applyAlignment="1">
      <alignment horizontal="center" vertical="center"/>
    </xf>
    <xf numFmtId="0" fontId="24" fillId="5" borderId="1" xfId="0" applyFont="1" applyFill="1" applyBorder="1" applyAlignment="1">
      <alignment horizontal="center" vertical="center"/>
    </xf>
    <xf numFmtId="10" fontId="24" fillId="5" borderId="1" xfId="0" applyNumberFormat="1" applyFont="1" applyFill="1" applyBorder="1" applyAlignment="1">
      <alignment horizontal="center" vertical="center"/>
    </xf>
    <xf numFmtId="0" fontId="24" fillId="16" borderId="1"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1" xfId="0" applyFont="1" applyFill="1" applyBorder="1" applyAlignment="1">
      <alignment horizontal="left" vertical="center"/>
    </xf>
    <xf numFmtId="10" fontId="26" fillId="0" borderId="1" xfId="6" applyNumberFormat="1" applyFont="1" applyFill="1" applyBorder="1" applyAlignment="1">
      <alignment horizontal="center" vertical="center"/>
    </xf>
    <xf numFmtId="0" fontId="36" fillId="5" borderId="1" xfId="0" applyFont="1" applyFill="1" applyBorder="1" applyAlignment="1">
      <alignment horizontal="center" vertical="center"/>
    </xf>
    <xf numFmtId="0" fontId="23" fillId="5" borderId="1" xfId="0" applyFont="1" applyFill="1" applyBorder="1" applyAlignment="1">
      <alignment horizontal="center" vertical="center"/>
    </xf>
    <xf numFmtId="0" fontId="37" fillId="12" borderId="9" xfId="0" applyFont="1" applyFill="1" applyBorder="1" applyAlignment="1">
      <alignment vertical="center" wrapText="1"/>
    </xf>
    <xf numFmtId="0" fontId="37" fillId="12" borderId="5" xfId="0" applyFont="1" applyFill="1" applyBorder="1" applyAlignment="1">
      <alignment vertical="center" wrapText="1"/>
    </xf>
    <xf numFmtId="0" fontId="37" fillId="12" borderId="10" xfId="0" applyFont="1" applyFill="1" applyBorder="1" applyAlignment="1">
      <alignment vertical="center" wrapText="1"/>
    </xf>
    <xf numFmtId="0" fontId="37" fillId="12" borderId="16" xfId="0" applyFont="1" applyFill="1" applyBorder="1" applyAlignment="1">
      <alignment vertical="center" wrapText="1"/>
    </xf>
    <xf numFmtId="0" fontId="37" fillId="12" borderId="8" xfId="0" applyFont="1" applyFill="1" applyBorder="1" applyAlignment="1">
      <alignment vertical="center" wrapText="1"/>
    </xf>
    <xf numFmtId="0" fontId="37" fillId="12" borderId="17" xfId="0" applyFont="1" applyFill="1" applyBorder="1" applyAlignment="1">
      <alignment vertical="center" wrapText="1"/>
    </xf>
    <xf numFmtId="0" fontId="24" fillId="10" borderId="1" xfId="0" applyFont="1" applyFill="1" applyBorder="1" applyAlignment="1">
      <alignment horizontal="center" vertical="center"/>
    </xf>
    <xf numFmtId="165" fontId="23" fillId="0" borderId="1" xfId="0" applyNumberFormat="1" applyFont="1" applyFill="1" applyBorder="1" applyAlignment="1">
      <alignment horizontal="center" vertical="center"/>
    </xf>
    <xf numFmtId="0" fontId="38" fillId="12" borderId="9" xfId="0" applyFont="1" applyFill="1" applyBorder="1" applyAlignment="1">
      <alignment horizontal="left" vertical="center" wrapText="1"/>
    </xf>
    <xf numFmtId="0" fontId="38" fillId="12" borderId="5" xfId="0" applyFont="1" applyFill="1" applyBorder="1" applyAlignment="1">
      <alignment horizontal="left" vertical="center" wrapText="1"/>
    </xf>
    <xf numFmtId="0" fontId="38" fillId="12" borderId="10" xfId="0" applyFont="1" applyFill="1" applyBorder="1" applyAlignment="1">
      <alignment horizontal="left" vertical="center" wrapText="1"/>
    </xf>
    <xf numFmtId="0" fontId="38" fillId="12" borderId="16" xfId="0" applyFont="1" applyFill="1" applyBorder="1" applyAlignment="1">
      <alignment horizontal="left" vertical="center" wrapText="1"/>
    </xf>
    <xf numFmtId="0" fontId="38" fillId="12" borderId="8" xfId="0" applyFont="1" applyFill="1" applyBorder="1" applyAlignment="1">
      <alignment horizontal="left" vertical="center" wrapText="1"/>
    </xf>
    <xf numFmtId="0" fontId="38" fillId="12" borderId="17" xfId="0" applyFont="1" applyFill="1" applyBorder="1" applyAlignment="1">
      <alignment horizontal="left" vertical="center" wrapText="1"/>
    </xf>
    <xf numFmtId="0" fontId="24" fillId="2" borderId="13" xfId="0" applyFont="1" applyFill="1" applyBorder="1" applyAlignment="1">
      <alignment horizontal="center" vertical="center"/>
    </xf>
    <xf numFmtId="0" fontId="24" fillId="2" borderId="14" xfId="0" applyFont="1" applyFill="1" applyBorder="1" applyAlignment="1">
      <alignment horizontal="center" vertical="center"/>
    </xf>
    <xf numFmtId="0" fontId="24" fillId="2" borderId="15" xfId="0" applyFont="1" applyFill="1" applyBorder="1" applyAlignment="1">
      <alignment horizontal="center" vertical="center"/>
    </xf>
    <xf numFmtId="0" fontId="26" fillId="2" borderId="13" xfId="0" applyFont="1" applyFill="1" applyBorder="1" applyAlignment="1">
      <alignment horizontal="center" vertical="center"/>
    </xf>
    <xf numFmtId="0" fontId="26" fillId="2" borderId="14" xfId="0" applyFont="1" applyFill="1" applyBorder="1" applyAlignment="1">
      <alignment horizontal="center" vertical="center"/>
    </xf>
    <xf numFmtId="0" fontId="26" fillId="2" borderId="15" xfId="0" applyFont="1" applyFill="1" applyBorder="1" applyAlignment="1">
      <alignment horizontal="center" vertical="center"/>
    </xf>
    <xf numFmtId="165" fontId="23" fillId="0" borderId="1" xfId="0" applyNumberFormat="1" applyFont="1" applyBorder="1" applyAlignment="1">
      <alignment horizontal="center" vertical="center"/>
    </xf>
    <xf numFmtId="0" fontId="23" fillId="2" borderId="1" xfId="0" applyFont="1" applyFill="1" applyBorder="1" applyAlignment="1">
      <alignment horizontal="center" vertical="center"/>
    </xf>
    <xf numFmtId="0" fontId="23" fillId="3" borderId="1" xfId="0" applyFont="1" applyFill="1" applyBorder="1" applyAlignment="1">
      <alignment horizontal="center" vertical="center"/>
    </xf>
    <xf numFmtId="0" fontId="24" fillId="0" borderId="18" xfId="0" applyFont="1" applyBorder="1" applyAlignment="1">
      <alignment horizontal="center" vertical="center"/>
    </xf>
    <xf numFmtId="0" fontId="24" fillId="0" borderId="13" xfId="0" applyFont="1" applyBorder="1" applyAlignment="1">
      <alignment horizontal="center" vertical="center"/>
    </xf>
    <xf numFmtId="0" fontId="24" fillId="0" borderId="14" xfId="0" applyFont="1" applyBorder="1" applyAlignment="1">
      <alignment horizontal="center" vertical="center"/>
    </xf>
    <xf numFmtId="0" fontId="24" fillId="0" borderId="15" xfId="0" applyFont="1" applyBorder="1" applyAlignment="1">
      <alignment horizontal="center" vertical="center"/>
    </xf>
    <xf numFmtId="0" fontId="29" fillId="0" borderId="9"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6"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17" xfId="0" applyFont="1" applyFill="1" applyBorder="1" applyAlignment="1">
      <alignment horizontal="center" vertical="center" wrapText="1"/>
    </xf>
    <xf numFmtId="165" fontId="23" fillId="3" borderId="1" xfId="0" applyNumberFormat="1" applyFont="1" applyFill="1" applyBorder="1" applyAlignment="1">
      <alignment horizontal="center" vertical="center"/>
    </xf>
    <xf numFmtId="0" fontId="35" fillId="0" borderId="9"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0" borderId="11"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12" xfId="0" applyFont="1" applyFill="1" applyBorder="1" applyAlignment="1">
      <alignment horizontal="center" vertical="center" wrapText="1"/>
    </xf>
    <xf numFmtId="168" fontId="23" fillId="0" borderId="1" xfId="0" applyNumberFormat="1" applyFont="1" applyFill="1" applyBorder="1" applyAlignment="1">
      <alignment horizontal="center" vertical="center"/>
    </xf>
    <xf numFmtId="169" fontId="23" fillId="3" borderId="1" xfId="0" applyNumberFormat="1" applyFont="1" applyFill="1" applyBorder="1" applyAlignment="1">
      <alignment horizontal="center" vertical="center"/>
    </xf>
    <xf numFmtId="0" fontId="36" fillId="14" borderId="1" xfId="0" applyFont="1" applyFill="1" applyBorder="1" applyAlignment="1">
      <alignment horizontal="center" vertical="center"/>
    </xf>
    <xf numFmtId="0" fontId="23" fillId="0" borderId="1" xfId="0" applyFont="1" applyBorder="1" applyAlignment="1">
      <alignment horizontal="left" vertical="center" wrapText="1"/>
    </xf>
    <xf numFmtId="10" fontId="23" fillId="3" borderId="1" xfId="0" applyNumberFormat="1" applyFont="1" applyFill="1" applyBorder="1" applyAlignment="1">
      <alignment horizontal="center" vertical="center"/>
    </xf>
    <xf numFmtId="10" fontId="24" fillId="4" borderId="1" xfId="0" applyNumberFormat="1" applyFont="1" applyFill="1" applyBorder="1" applyAlignment="1">
      <alignment horizontal="center" vertical="center"/>
    </xf>
    <xf numFmtId="166" fontId="23" fillId="3" borderId="1" xfId="0" applyNumberFormat="1" applyFont="1" applyFill="1" applyBorder="1" applyAlignment="1">
      <alignment horizontal="center" vertical="center"/>
    </xf>
    <xf numFmtId="0" fontId="23" fillId="3" borderId="13" xfId="0" applyFont="1" applyFill="1" applyBorder="1" applyAlignment="1">
      <alignment horizontal="center" vertical="center"/>
    </xf>
    <xf numFmtId="0" fontId="23" fillId="3" borderId="15" xfId="0" applyFont="1" applyFill="1" applyBorder="1" applyAlignment="1">
      <alignment horizontal="center" vertical="center"/>
    </xf>
    <xf numFmtId="0" fontId="24" fillId="2" borderId="1" xfId="0" applyFont="1" applyFill="1" applyBorder="1" applyAlignment="1">
      <alignment horizontal="center" vertical="center"/>
    </xf>
    <xf numFmtId="0" fontId="24" fillId="0" borderId="1" xfId="0" applyFont="1" applyBorder="1" applyAlignment="1">
      <alignment horizontal="center" vertical="center"/>
    </xf>
    <xf numFmtId="10" fontId="29" fillId="13" borderId="1" xfId="0" applyNumberFormat="1" applyFont="1" applyFill="1" applyBorder="1" applyAlignment="1">
      <alignment horizontal="center" vertical="center"/>
    </xf>
    <xf numFmtId="0" fontId="23" fillId="0" borderId="13" xfId="0" applyFont="1" applyBorder="1" applyAlignment="1">
      <alignment horizontal="center" vertical="center"/>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24" fillId="15" borderId="19" xfId="0" applyFont="1" applyFill="1" applyBorder="1" applyAlignment="1">
      <alignment horizontal="center" vertical="center"/>
    </xf>
    <xf numFmtId="0" fontId="24" fillId="15" borderId="18" xfId="0" applyFont="1" applyFill="1" applyBorder="1" applyAlignment="1">
      <alignment horizontal="center" vertical="center"/>
    </xf>
    <xf numFmtId="0" fontId="24" fillId="15" borderId="20" xfId="0" applyFont="1" applyFill="1" applyBorder="1" applyAlignment="1">
      <alignment horizontal="center" vertical="center"/>
    </xf>
    <xf numFmtId="0" fontId="23" fillId="0" borderId="1" xfId="0" applyFont="1" applyBorder="1" applyAlignment="1">
      <alignment horizontal="center"/>
    </xf>
    <xf numFmtId="0" fontId="24" fillId="8" borderId="1" xfId="0" applyFont="1" applyFill="1" applyBorder="1" applyAlignment="1">
      <alignment horizontal="center" vertical="center"/>
    </xf>
    <xf numFmtId="10" fontId="23" fillId="3" borderId="1" xfId="0" applyNumberFormat="1" applyFont="1" applyFill="1" applyBorder="1" applyAlignment="1">
      <alignment horizontal="center"/>
    </xf>
    <xf numFmtId="10" fontId="24" fillId="0" borderId="1" xfId="0" applyNumberFormat="1" applyFont="1" applyBorder="1" applyAlignment="1">
      <alignment horizontal="center" vertical="center"/>
    </xf>
    <xf numFmtId="10" fontId="23" fillId="10" borderId="1" xfId="0" applyNumberFormat="1" applyFont="1" applyFill="1" applyBorder="1" applyAlignment="1">
      <alignment horizontal="center" vertical="center"/>
    </xf>
    <xf numFmtId="10" fontId="29" fillId="4" borderId="1" xfId="0" applyNumberFormat="1" applyFont="1" applyFill="1" applyBorder="1" applyAlignment="1">
      <alignment horizontal="center" vertical="center"/>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4" xfId="0" applyFont="1" applyFill="1" applyBorder="1" applyAlignment="1">
      <alignment horizontal="left" vertical="center" wrapText="1"/>
    </xf>
    <xf numFmtId="0" fontId="25" fillId="6" borderId="1" xfId="0" applyFont="1" applyFill="1" applyBorder="1" applyAlignment="1">
      <alignment horizontal="center" vertical="center"/>
    </xf>
    <xf numFmtId="0" fontId="56" fillId="12" borderId="6" xfId="0" applyFont="1" applyFill="1" applyBorder="1" applyAlignment="1" applyProtection="1">
      <alignment horizontal="center"/>
    </xf>
    <xf numFmtId="0" fontId="41" fillId="9" borderId="6" xfId="0" applyFont="1" applyFill="1" applyBorder="1" applyAlignment="1" applyProtection="1">
      <alignment horizontal="center"/>
    </xf>
    <xf numFmtId="0" fontId="40" fillId="26" borderId="7" xfId="0" applyFont="1" applyFill="1" applyBorder="1" applyAlignment="1" applyProtection="1">
      <alignment horizontal="center" vertical="center" wrapText="1"/>
    </xf>
    <xf numFmtId="0" fontId="40" fillId="26" borderId="26" xfId="0" applyFont="1" applyFill="1" applyBorder="1" applyAlignment="1" applyProtection="1">
      <alignment horizontal="center" vertical="center" wrapText="1"/>
    </xf>
    <xf numFmtId="0" fontId="40" fillId="26" borderId="24" xfId="0" applyFont="1" applyFill="1" applyBorder="1" applyAlignment="1" applyProtection="1">
      <alignment horizontal="center" vertical="center" wrapText="1"/>
    </xf>
    <xf numFmtId="0" fontId="40" fillId="26" borderId="6" xfId="0" applyFont="1" applyFill="1" applyBorder="1" applyAlignment="1" applyProtection="1">
      <alignment horizontal="center" vertical="center"/>
    </xf>
    <xf numFmtId="0" fontId="40" fillId="25" borderId="7" xfId="3" applyFont="1" applyFill="1" applyBorder="1" applyAlignment="1" applyProtection="1">
      <alignment horizontal="center" vertical="center" wrapText="1"/>
    </xf>
    <xf numFmtId="0" fontId="40" fillId="25" borderId="26" xfId="3" applyFont="1" applyFill="1" applyBorder="1" applyAlignment="1" applyProtection="1">
      <alignment horizontal="center" vertical="center" wrapText="1"/>
    </xf>
    <xf numFmtId="0" fontId="40" fillId="25" borderId="24" xfId="3" applyFont="1" applyFill="1" applyBorder="1" applyAlignment="1" applyProtection="1">
      <alignment horizontal="center" vertical="center" wrapText="1"/>
    </xf>
    <xf numFmtId="3" fontId="40" fillId="25" borderId="7" xfId="4" applyNumberFormat="1" applyFont="1" applyFill="1" applyBorder="1" applyAlignment="1" applyProtection="1">
      <alignment horizontal="center" vertical="center" wrapText="1"/>
    </xf>
    <xf numFmtId="3" fontId="40" fillId="25" borderId="26" xfId="4" applyNumberFormat="1" applyFont="1" applyFill="1" applyBorder="1" applyAlignment="1" applyProtection="1">
      <alignment horizontal="center" vertical="center" wrapText="1"/>
    </xf>
    <xf numFmtId="3" fontId="40" fillId="25" borderId="24" xfId="4" applyNumberFormat="1" applyFont="1" applyFill="1" applyBorder="1" applyAlignment="1" applyProtection="1">
      <alignment horizontal="center" vertical="center" wrapText="1"/>
    </xf>
    <xf numFmtId="0" fontId="56" fillId="12" borderId="2" xfId="0" applyFont="1" applyFill="1" applyBorder="1" applyAlignment="1" applyProtection="1">
      <alignment horizontal="center"/>
    </xf>
    <xf numFmtId="0" fontId="56" fillId="12" borderId="3" xfId="0" applyFont="1" applyFill="1" applyBorder="1" applyAlignment="1" applyProtection="1">
      <alignment horizontal="center"/>
    </xf>
    <xf numFmtId="0" fontId="56" fillId="12" borderId="25" xfId="0" applyFont="1" applyFill="1" applyBorder="1" applyAlignment="1" applyProtection="1">
      <alignment horizontal="center"/>
    </xf>
    <xf numFmtId="0" fontId="40" fillId="26" borderId="2" xfId="0" applyFont="1" applyFill="1" applyBorder="1" applyAlignment="1" applyProtection="1">
      <alignment horizontal="center" vertical="center"/>
    </xf>
    <xf numFmtId="0" fontId="40" fillId="26" borderId="3" xfId="0" applyFont="1" applyFill="1" applyBorder="1" applyAlignment="1" applyProtection="1">
      <alignment horizontal="center" vertical="center"/>
    </xf>
    <xf numFmtId="0" fontId="40" fillId="26" borderId="25" xfId="0" applyFont="1" applyFill="1" applyBorder="1" applyAlignment="1" applyProtection="1">
      <alignment horizontal="center" vertical="center"/>
    </xf>
    <xf numFmtId="0" fontId="40" fillId="27" borderId="2" xfId="3" applyFont="1" applyFill="1" applyBorder="1" applyAlignment="1" applyProtection="1">
      <alignment horizontal="center" vertical="center" wrapText="1"/>
    </xf>
    <xf numFmtId="0" fontId="40" fillId="27" borderId="3" xfId="3" applyFont="1" applyFill="1" applyBorder="1" applyAlignment="1" applyProtection="1">
      <alignment horizontal="center" vertical="center" wrapText="1"/>
    </xf>
    <xf numFmtId="0" fontId="40" fillId="27" borderId="25" xfId="3" applyFont="1" applyFill="1" applyBorder="1" applyAlignment="1" applyProtection="1">
      <alignment horizontal="center" vertical="center" wrapText="1"/>
    </xf>
    <xf numFmtId="0" fontId="40" fillId="27" borderId="2" xfId="0" applyFont="1" applyFill="1" applyBorder="1" applyAlignment="1" applyProtection="1">
      <alignment horizontal="center" vertical="center"/>
    </xf>
    <xf numFmtId="0" fontId="40" fillId="27" borderId="3" xfId="0" applyFont="1" applyFill="1" applyBorder="1" applyAlignment="1" applyProtection="1">
      <alignment horizontal="center" vertical="center"/>
    </xf>
    <xf numFmtId="0" fontId="40" fillId="27" borderId="25" xfId="0" applyFont="1" applyFill="1" applyBorder="1" applyAlignment="1" applyProtection="1">
      <alignment horizontal="center" vertical="center"/>
    </xf>
    <xf numFmtId="0" fontId="40" fillId="0" borderId="2" xfId="0" applyFont="1" applyBorder="1" applyAlignment="1" applyProtection="1">
      <alignment horizontal="center" vertical="center"/>
    </xf>
    <xf numFmtId="0" fontId="40" fillId="0" borderId="3" xfId="0" applyFont="1" applyBorder="1" applyAlignment="1" applyProtection="1">
      <alignment horizontal="center" vertical="center"/>
    </xf>
    <xf numFmtId="0" fontId="40" fillId="0" borderId="25" xfId="0" applyFont="1" applyBorder="1" applyAlignment="1" applyProtection="1">
      <alignment horizontal="center" vertical="center"/>
    </xf>
    <xf numFmtId="0" fontId="58" fillId="12" borderId="6" xfId="0" applyFont="1" applyFill="1" applyBorder="1" applyAlignment="1" applyProtection="1">
      <alignment horizontal="center" vertical="center"/>
    </xf>
    <xf numFmtId="0" fontId="46" fillId="26" borderId="6" xfId="0" applyFont="1" applyFill="1" applyBorder="1" applyAlignment="1" applyProtection="1">
      <alignment horizontal="center" vertical="center"/>
    </xf>
    <xf numFmtId="0" fontId="47" fillId="0" borderId="6" xfId="0" applyFont="1" applyBorder="1" applyAlignment="1" applyProtection="1">
      <alignment horizontal="center" vertical="center"/>
    </xf>
    <xf numFmtId="0" fontId="46" fillId="0" borderId="6" xfId="0" applyFont="1" applyBorder="1" applyAlignment="1" applyProtection="1">
      <alignment horizontal="center" vertical="center" wrapText="1"/>
    </xf>
    <xf numFmtId="0" fontId="51" fillId="9" borderId="6" xfId="0" applyFont="1" applyFill="1" applyBorder="1" applyAlignment="1" applyProtection="1">
      <alignment horizontal="center" vertical="center"/>
    </xf>
    <xf numFmtId="0" fontId="46" fillId="26" borderId="6" xfId="0" applyFont="1" applyFill="1" applyBorder="1" applyAlignment="1" applyProtection="1">
      <alignment horizontal="center" vertical="center" wrapText="1"/>
    </xf>
    <xf numFmtId="0" fontId="47" fillId="26" borderId="6" xfId="0" applyFont="1" applyFill="1" applyBorder="1" applyAlignment="1" applyProtection="1">
      <alignment horizontal="center" vertical="center" wrapText="1"/>
    </xf>
    <xf numFmtId="0" fontId="51" fillId="9" borderId="6" xfId="0" applyFont="1" applyFill="1" applyBorder="1" applyAlignment="1" applyProtection="1">
      <alignment horizontal="center" vertical="center" wrapText="1"/>
    </xf>
    <xf numFmtId="0" fontId="47" fillId="0" borderId="6" xfId="0" applyFont="1" applyBorder="1" applyAlignment="1" applyProtection="1">
      <alignment horizontal="center" vertical="center" wrapText="1"/>
    </xf>
    <xf numFmtId="0" fontId="69" fillId="12" borderId="6" xfId="0" applyFont="1" applyFill="1" applyBorder="1" applyAlignment="1" applyProtection="1">
      <alignment horizontal="center"/>
    </xf>
    <xf numFmtId="0" fontId="65" fillId="0" borderId="6" xfId="0" applyFont="1" applyBorder="1" applyAlignment="1" applyProtection="1">
      <alignment horizontal="center" vertical="center"/>
    </xf>
    <xf numFmtId="0" fontId="65" fillId="26" borderId="6" xfId="0" applyFont="1" applyFill="1" applyBorder="1" applyAlignment="1" applyProtection="1">
      <alignment horizontal="center"/>
    </xf>
    <xf numFmtId="164" fontId="67" fillId="26" borderId="2" xfId="1" applyFont="1" applyFill="1" applyBorder="1" applyAlignment="1" applyProtection="1">
      <alignment horizontal="center" vertical="center"/>
    </xf>
    <xf numFmtId="164" fontId="67" fillId="26" borderId="3" xfId="1" applyFont="1" applyFill="1" applyBorder="1" applyAlignment="1" applyProtection="1">
      <alignment horizontal="center" vertical="center"/>
    </xf>
    <xf numFmtId="164" fontId="67" fillId="26" borderId="25" xfId="1" applyFont="1" applyFill="1" applyBorder="1" applyAlignment="1" applyProtection="1">
      <alignment horizontal="center" vertical="center"/>
    </xf>
    <xf numFmtId="164" fontId="67" fillId="9" borderId="6" xfId="1" applyFont="1" applyFill="1" applyBorder="1" applyAlignment="1" applyProtection="1">
      <alignment horizontal="center" vertical="center"/>
    </xf>
    <xf numFmtId="0" fontId="9" fillId="21" borderId="6" xfId="0" applyFont="1" applyFill="1" applyBorder="1" applyAlignment="1" applyProtection="1">
      <alignment horizontal="center"/>
    </xf>
    <xf numFmtId="0" fontId="9" fillId="0" borderId="6" xfId="0" applyFont="1" applyBorder="1" applyAlignment="1" applyProtection="1">
      <alignment horizontal="center" vertical="center"/>
    </xf>
    <xf numFmtId="0" fontId="41" fillId="0" borderId="8" xfId="0" applyFont="1" applyBorder="1" applyAlignment="1" applyProtection="1">
      <alignment horizontal="center"/>
    </xf>
    <xf numFmtId="0" fontId="40" fillId="0" borderId="6" xfId="0" applyFont="1" applyBorder="1" applyAlignment="1" applyProtection="1">
      <alignment horizontal="center" vertical="center"/>
    </xf>
    <xf numFmtId="0" fontId="64" fillId="0" borderId="6" xfId="0" applyFont="1" applyBorder="1" applyAlignment="1" applyProtection="1">
      <alignment horizontal="center" vertical="center"/>
    </xf>
    <xf numFmtId="0" fontId="39" fillId="21" borderId="6" xfId="0" applyFont="1" applyFill="1" applyBorder="1" applyAlignment="1" applyProtection="1">
      <alignment horizontal="center"/>
    </xf>
    <xf numFmtId="0" fontId="63" fillId="0" borderId="6" xfId="0" applyFont="1" applyBorder="1" applyAlignment="1" applyProtection="1">
      <alignment horizontal="center" vertical="center"/>
    </xf>
    <xf numFmtId="0" fontId="39" fillId="26" borderId="2" xfId="0" applyFont="1" applyFill="1" applyBorder="1" applyAlignment="1" applyProtection="1">
      <alignment horizontal="center" vertical="center"/>
    </xf>
    <xf numFmtId="0" fontId="39" fillId="26" borderId="3" xfId="0" applyFont="1" applyFill="1" applyBorder="1" applyAlignment="1" applyProtection="1">
      <alignment horizontal="center" vertical="center"/>
    </xf>
    <xf numFmtId="0" fontId="39" fillId="26" borderId="25" xfId="0" applyFont="1" applyFill="1" applyBorder="1" applyAlignment="1" applyProtection="1">
      <alignment horizontal="center" vertical="center"/>
    </xf>
    <xf numFmtId="0" fontId="63" fillId="26" borderId="6" xfId="0" applyFont="1" applyFill="1" applyBorder="1" applyAlignment="1" applyProtection="1">
      <alignment horizontal="center" vertical="center"/>
    </xf>
    <xf numFmtId="0" fontId="39" fillId="26" borderId="6" xfId="0" applyFont="1" applyFill="1" applyBorder="1" applyAlignment="1" applyProtection="1">
      <alignment horizontal="center"/>
    </xf>
    <xf numFmtId="0" fontId="54" fillId="26" borderId="7" xfId="0" applyFont="1" applyFill="1" applyBorder="1" applyAlignment="1" applyProtection="1">
      <alignment horizontal="center" vertical="center"/>
    </xf>
    <xf numFmtId="0" fontId="54" fillId="26" borderId="24" xfId="0" applyFont="1" applyFill="1" applyBorder="1" applyAlignment="1" applyProtection="1">
      <alignment horizontal="center" vertical="center"/>
    </xf>
    <xf numFmtId="0" fontId="1" fillId="26" borderId="6" xfId="0" applyFont="1" applyFill="1" applyBorder="1" applyAlignment="1" applyProtection="1">
      <alignment horizontal="center"/>
    </xf>
    <xf numFmtId="10" fontId="3" fillId="12" borderId="6" xfId="6" applyNumberFormat="1" applyFill="1" applyBorder="1" applyAlignment="1" applyProtection="1">
      <alignment horizontal="center"/>
      <protection locked="0"/>
    </xf>
    <xf numFmtId="0" fontId="41" fillId="26" borderId="6" xfId="0" applyFont="1" applyFill="1" applyBorder="1" applyAlignment="1" applyProtection="1">
      <alignment horizontal="center"/>
    </xf>
    <xf numFmtId="0" fontId="15" fillId="20" borderId="6" xfId="0" applyFont="1" applyFill="1" applyBorder="1" applyAlignment="1">
      <alignment horizontal="center"/>
    </xf>
    <xf numFmtId="0" fontId="9" fillId="21" borderId="6" xfId="0" applyFont="1" applyFill="1" applyBorder="1" applyAlignment="1">
      <alignment horizontal="center"/>
    </xf>
    <xf numFmtId="0" fontId="9" fillId="0" borderId="6" xfId="0" applyFont="1" applyBorder="1" applyAlignment="1">
      <alignment horizontal="left" vertical="center"/>
    </xf>
    <xf numFmtId="0" fontId="0" fillId="0" borderId="6" xfId="0" applyBorder="1" applyAlignment="1">
      <alignment horizontal="center"/>
    </xf>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9" fillId="0" borderId="0" xfId="0" applyFont="1" applyAlignment="1">
      <alignment horizontal="center"/>
    </xf>
    <xf numFmtId="0" fontId="12" fillId="0" borderId="0" xfId="0" applyFont="1" applyAlignment="1">
      <alignment horizontal="center"/>
    </xf>
    <xf numFmtId="0" fontId="0" fillId="0" borderId="7" xfId="0" applyFont="1" applyBorder="1" applyAlignment="1">
      <alignment horizontal="center" vertical="center"/>
    </xf>
    <xf numFmtId="0" fontId="0" fillId="0" borderId="24" xfId="0" applyFont="1" applyBorder="1" applyAlignment="1">
      <alignment horizontal="center" vertical="center"/>
    </xf>
    <xf numFmtId="0" fontId="9" fillId="0" borderId="6" xfId="0" applyFont="1" applyBorder="1" applyAlignment="1">
      <alignment horizontal="center"/>
    </xf>
    <xf numFmtId="0" fontId="0" fillId="0" borderId="7" xfId="0" applyBorder="1" applyAlignment="1">
      <alignment horizontal="center" vertical="center"/>
    </xf>
    <xf numFmtId="0" fontId="0" fillId="0" borderId="24" xfId="0" applyBorder="1" applyAlignment="1">
      <alignment horizontal="center" vertical="center"/>
    </xf>
    <xf numFmtId="0" fontId="9" fillId="0" borderId="2" xfId="0" applyFont="1" applyBorder="1" applyAlignment="1">
      <alignment horizontal="left"/>
    </xf>
    <xf numFmtId="0" fontId="9" fillId="0" borderId="3" xfId="0" applyFont="1" applyBorder="1" applyAlignment="1">
      <alignment horizontal="left"/>
    </xf>
    <xf numFmtId="0" fontId="9" fillId="0" borderId="4" xfId="0" applyFont="1" applyBorder="1" applyAlignment="1">
      <alignment horizontal="left"/>
    </xf>
    <xf numFmtId="0" fontId="9" fillId="0" borderId="2" xfId="0" applyFont="1" applyBorder="1" applyAlignment="1">
      <alignment horizontal="right"/>
    </xf>
    <xf numFmtId="0" fontId="9" fillId="0" borderId="3" xfId="0" applyFont="1" applyBorder="1" applyAlignment="1">
      <alignment horizontal="right"/>
    </xf>
    <xf numFmtId="0" fontId="9" fillId="20" borderId="2" xfId="0" applyFont="1" applyFill="1" applyBorder="1" applyAlignment="1">
      <alignment horizontal="center"/>
    </xf>
    <xf numFmtId="0" fontId="9" fillId="20" borderId="3" xfId="0" applyFont="1" applyFill="1" applyBorder="1" applyAlignment="1">
      <alignment horizontal="center"/>
    </xf>
    <xf numFmtId="0" fontId="9" fillId="20" borderId="4" xfId="0" applyFont="1" applyFill="1" applyBorder="1" applyAlignment="1">
      <alignment horizontal="center"/>
    </xf>
    <xf numFmtId="0" fontId="9" fillId="0" borderId="6" xfId="0" applyFont="1" applyBorder="1" applyAlignment="1">
      <alignment horizontal="center" vertical="center" wrapText="1"/>
    </xf>
    <xf numFmtId="0" fontId="9" fillId="0" borderId="6" xfId="0" applyFont="1" applyBorder="1" applyAlignment="1">
      <alignment horizontal="left"/>
    </xf>
    <xf numFmtId="0" fontId="9" fillId="0" borderId="9"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0" xfId="0" applyFont="1" applyBorder="1" applyAlignment="1">
      <alignment horizontal="center" vertical="center" wrapText="1"/>
    </xf>
    <xf numFmtId="0" fontId="9" fillId="20" borderId="6" xfId="0" applyFont="1" applyFill="1" applyBorder="1" applyAlignment="1">
      <alignment horizontal="center"/>
    </xf>
    <xf numFmtId="4" fontId="9" fillId="21" borderId="2" xfId="0" applyNumberFormat="1" applyFont="1" applyFill="1" applyBorder="1" applyAlignment="1">
      <alignment horizontal="center"/>
    </xf>
    <xf numFmtId="4" fontId="9" fillId="21" borderId="3" xfId="0" applyNumberFormat="1" applyFont="1" applyFill="1" applyBorder="1" applyAlignment="1">
      <alignment horizontal="center"/>
    </xf>
    <xf numFmtId="4" fontId="9" fillId="21" borderId="4" xfId="0" applyNumberFormat="1" applyFont="1" applyFill="1" applyBorder="1" applyAlignment="1">
      <alignment horizontal="center"/>
    </xf>
    <xf numFmtId="0" fontId="9" fillId="0" borderId="4" xfId="0" applyFont="1" applyBorder="1" applyAlignment="1">
      <alignment horizontal="center" vertical="center"/>
    </xf>
    <xf numFmtId="0" fontId="9" fillId="0" borderId="10" xfId="0" applyFont="1" applyBorder="1" applyAlignment="1">
      <alignment horizontal="left"/>
    </xf>
    <xf numFmtId="0" fontId="9" fillId="0" borderId="9" xfId="0" applyFont="1" applyBorder="1" applyAlignment="1">
      <alignment horizontal="left"/>
    </xf>
    <xf numFmtId="0" fontId="9" fillId="0" borderId="9" xfId="0" applyFont="1" applyBorder="1" applyAlignment="1">
      <alignment horizontal="center" vertical="center"/>
    </xf>
    <xf numFmtId="0" fontId="9" fillId="0" borderId="5" xfId="0" applyFont="1" applyBorder="1" applyAlignment="1">
      <alignment horizontal="center" vertical="center"/>
    </xf>
    <xf numFmtId="0" fontId="9" fillId="0" borderId="10" xfId="0" applyFont="1" applyBorder="1" applyAlignment="1">
      <alignment horizontal="center" vertical="center"/>
    </xf>
  </cellXfs>
  <cellStyles count="19">
    <cellStyle name="Moeda" xfId="1" builtinId="4"/>
    <cellStyle name="Moeda 2" xfId="2"/>
    <cellStyle name="Moeda 3" xfId="10"/>
    <cellStyle name="Normal" xfId="0" builtinId="0"/>
    <cellStyle name="Normal 2" xfId="3"/>
    <cellStyle name="Normal 3" xfId="4"/>
    <cellStyle name="Normal 4" xfId="5"/>
    <cellStyle name="Normal 5" xfId="9"/>
    <cellStyle name="Porcentagem" xfId="6" builtinId="5"/>
    <cellStyle name="Porcentagem 2" xfId="7"/>
    <cellStyle name="Texto Explicativo 2" xfId="8"/>
    <cellStyle name="Vírgula 2" xfId="11"/>
    <cellStyle name="Vírgula 3" xfId="12"/>
    <cellStyle name="Vírgula 3 2" xfId="13"/>
    <cellStyle name="Vírgula 4" xfId="14"/>
    <cellStyle name="Vírgula 4 2" xfId="15"/>
    <cellStyle name="Vírgula 5" xfId="16"/>
    <cellStyle name="Vírgula 5 2" xfId="17"/>
    <cellStyle name="Vírgula 6" xfId="1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CC"/>
      <rgbColor rgb="00FFFF00"/>
      <rgbColor rgb="00FF00FF"/>
      <rgbColor rgb="0000FFFF"/>
      <rgbColor rgb="00800000"/>
      <rgbColor rgb="00008000"/>
      <rgbColor rgb="00000080"/>
      <rgbColor rgb="00808000"/>
      <rgbColor rgb="00800080"/>
      <rgbColor rgb="00008080"/>
      <rgbColor rgb="00DBB7CC"/>
      <rgbColor rgb="00808080"/>
      <rgbColor rgb="009999FF"/>
      <rgbColor rgb="00993366"/>
      <rgbColor rgb="00FFF2CC"/>
      <rgbColor rgb="00CCFFFF"/>
      <rgbColor rgb="00660066"/>
      <rgbColor rgb="00FF9966"/>
      <rgbColor rgb="000066CC"/>
      <rgbColor rgb="00D9D9D9"/>
      <rgbColor rgb="00000080"/>
      <rgbColor rgb="00FF00FF"/>
      <rgbColor rgb="00FFFF00"/>
      <rgbColor rgb="0000FFFF"/>
      <rgbColor rgb="00800080"/>
      <rgbColor rgb="00800000"/>
      <rgbColor rgb="00008080"/>
      <rgbColor rgb="002300DC"/>
      <rgbColor rgb="0000CCFF"/>
      <rgbColor rgb="00CCFFFF"/>
      <rgbColor rgb="00D8E9CD"/>
      <rgbColor rgb="00FBE5D6"/>
      <rgbColor rgb="009DC3E6"/>
      <rgbColor rgb="00F4B183"/>
      <rgbColor rgb="00CC99FF"/>
      <rgbColor rgb="00F8CBAD"/>
      <rgbColor rgb="003366FF"/>
      <rgbColor rgb="0033CCCC"/>
      <rgbColor rgb="0099CC00"/>
      <rgbColor rgb="00FFD966"/>
      <rgbColor rgb="00FF9900"/>
      <rgbColor rgb="00FF6600"/>
      <rgbColor rgb="00A863DB"/>
      <rgbColor rgb="00A9D18E"/>
      <rgbColor rgb="00003366"/>
      <rgbColor rgb="00339966"/>
      <rgbColor rgb="000D0D0D"/>
      <rgbColor rgb="00333300"/>
      <rgbColor rgb="00993300"/>
      <rgbColor rgb="00993366"/>
      <rgbColor rgb="00333399"/>
      <rgbColor rgb="00333333"/>
    </indexed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TP-GEAD_GCC/Manutencao%20Predial/XX_Termo%20de%20Refer&#234;ncia/XX_Planilha%20de%20Custo%20e%20Forma&#231;&#227;o%20de%20Pre&#231;os/03_Estimativa%20MOB%20sem%20dedicacao%20exclusiv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icitacoes%20e%20Contratacoes/Pregao%20Eletronico/2020/PA%202019-3214%20-%20Limpeza%20Sede%20e%20Subse&#231;&#245;es/Anexo%20IV%20-%20Planilhas%20de%20Custos%20e%20Forma&#231;&#227;o%20de%20Pre&#231;os%20-%20Ap&#243;s%20NA/Planilha%20materiais%20todas%20unidades%20corrigid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A_Estimativa%20MOB%20nao%20residente_pos%20Controladoria.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quipe não residente_manut "/>
      <sheetName val="Equipe não residente eventual"/>
      <sheetName val="Composição"/>
      <sheetName val="Insumos"/>
    </sheetNames>
    <sheetDataSet>
      <sheetData sheetId="0" refreshError="1"/>
      <sheetData sheetId="1" refreshError="1"/>
      <sheetData sheetId="2" refreshError="1">
        <row r="2">
          <cell r="A2" t="str">
            <v>Descrição</v>
          </cell>
          <cell r="B2" t="str">
            <v>Cod. SINAP</v>
          </cell>
          <cell r="C2" t="str">
            <v>CBO</v>
          </cell>
          <cell r="D2" t="str">
            <v>Valor</v>
          </cell>
          <cell r="E2" t="str">
            <v>H/M</v>
          </cell>
          <cell r="F2" t="str">
            <v>Insumos</v>
          </cell>
          <cell r="G2" t="str">
            <v>TOTAL</v>
          </cell>
        </row>
        <row r="3">
          <cell r="A3" t="str">
            <v>Ajudante de Eletricista</v>
          </cell>
          <cell r="B3">
            <v>88247</v>
          </cell>
          <cell r="C3" t="str">
            <v>7156-15</v>
          </cell>
          <cell r="D3">
            <v>20.2</v>
          </cell>
          <cell r="E3" t="str">
            <v>Horista</v>
          </cell>
          <cell r="F3">
            <v>15.86</v>
          </cell>
          <cell r="G3">
            <v>36.06</v>
          </cell>
        </row>
        <row r="4">
          <cell r="A4" t="str">
            <v>Oficial de Manutenção</v>
          </cell>
          <cell r="B4">
            <v>88264</v>
          </cell>
          <cell r="C4" t="str">
            <v xml:space="preserve">5143-25 </v>
          </cell>
          <cell r="D4">
            <v>26.41</v>
          </cell>
          <cell r="E4" t="str">
            <v>Horista</v>
          </cell>
          <cell r="F4">
            <v>15.86</v>
          </cell>
          <cell r="G4">
            <v>42.269999999999996</v>
          </cell>
        </row>
        <row r="5">
          <cell r="A5" t="str">
            <v>Oficial Eletricista</v>
          </cell>
          <cell r="B5">
            <v>88264</v>
          </cell>
          <cell r="C5">
            <v>7156</v>
          </cell>
          <cell r="D5">
            <v>26.41</v>
          </cell>
          <cell r="E5" t="str">
            <v>Horista</v>
          </cell>
          <cell r="F5">
            <v>21.91</v>
          </cell>
          <cell r="G5">
            <v>48.32</v>
          </cell>
        </row>
        <row r="6">
          <cell r="A6" t="str">
            <v>Eletricista Industrial</v>
          </cell>
          <cell r="B6">
            <v>88265</v>
          </cell>
          <cell r="C6">
            <v>951</v>
          </cell>
          <cell r="D6">
            <v>27.46</v>
          </cell>
          <cell r="E6" t="str">
            <v>Horista</v>
          </cell>
          <cell r="F6">
            <v>22.94</v>
          </cell>
          <cell r="G6">
            <v>50.400000000000006</v>
          </cell>
        </row>
        <row r="7">
          <cell r="A7" t="str">
            <v>Auxiliar de Encanador</v>
          </cell>
          <cell r="B7">
            <v>88248</v>
          </cell>
          <cell r="C7" t="str">
            <v>7241-10</v>
          </cell>
          <cell r="D7">
            <v>19.66</v>
          </cell>
          <cell r="E7" t="str">
            <v>Horista</v>
          </cell>
          <cell r="F7">
            <v>15.52</v>
          </cell>
          <cell r="G7">
            <v>35.18</v>
          </cell>
        </row>
        <row r="8">
          <cell r="A8" t="str">
            <v>Oficial Encanador</v>
          </cell>
          <cell r="B8">
            <v>88267</v>
          </cell>
          <cell r="C8">
            <v>7241</v>
          </cell>
          <cell r="D8">
            <v>25.68</v>
          </cell>
          <cell r="E8" t="str">
            <v>Horista</v>
          </cell>
          <cell r="F8">
            <v>21.46</v>
          </cell>
          <cell r="G8">
            <v>47.14</v>
          </cell>
        </row>
        <row r="9">
          <cell r="A9" t="str">
            <v>Azulejista</v>
          </cell>
          <cell r="B9">
            <v>88256</v>
          </cell>
          <cell r="C9" t="str">
            <v>7165-10</v>
          </cell>
          <cell r="D9">
            <v>24.39</v>
          </cell>
          <cell r="E9" t="str">
            <v>Horista</v>
          </cell>
          <cell r="F9">
            <v>18.71</v>
          </cell>
          <cell r="G9">
            <v>43.1</v>
          </cell>
        </row>
        <row r="10">
          <cell r="A10" t="str">
            <v>Engenheiro Civil</v>
          </cell>
          <cell r="B10">
            <v>90779</v>
          </cell>
          <cell r="C10" t="str">
            <v>2142-05</v>
          </cell>
          <cell r="D10">
            <v>145.72</v>
          </cell>
          <cell r="E10" t="str">
            <v>Horista</v>
          </cell>
          <cell r="F10">
            <v>144.79</v>
          </cell>
          <cell r="G10">
            <v>290.51</v>
          </cell>
        </row>
        <row r="11">
          <cell r="A11" t="str">
            <v>Marceneiro</v>
          </cell>
          <cell r="B11">
            <v>88273</v>
          </cell>
          <cell r="C11" t="str">
            <v>7711-05</v>
          </cell>
          <cell r="D11">
            <v>24.29</v>
          </cell>
          <cell r="E11" t="str">
            <v>Horista</v>
          </cell>
          <cell r="F11">
            <v>18.71</v>
          </cell>
          <cell r="G11">
            <v>43</v>
          </cell>
        </row>
        <row r="12">
          <cell r="A12" t="str">
            <v>Pedreiro</v>
          </cell>
          <cell r="B12">
            <v>88309</v>
          </cell>
          <cell r="C12" t="str">
            <v>7152-10</v>
          </cell>
          <cell r="D12">
            <v>24.48</v>
          </cell>
          <cell r="E12" t="str">
            <v>Horista</v>
          </cell>
          <cell r="F12">
            <v>20.239999999999998</v>
          </cell>
          <cell r="G12">
            <v>44.72</v>
          </cell>
        </row>
        <row r="13">
          <cell r="A13" t="str">
            <v>Pintor</v>
          </cell>
          <cell r="B13">
            <v>88310</v>
          </cell>
          <cell r="C13" t="str">
            <v>7233-10</v>
          </cell>
          <cell r="D13">
            <v>28.17</v>
          </cell>
          <cell r="E13" t="str">
            <v>Horista</v>
          </cell>
          <cell r="F13">
            <v>23.990000000000002</v>
          </cell>
          <cell r="G13">
            <v>52.160000000000004</v>
          </cell>
        </row>
        <row r="14">
          <cell r="A14" t="str">
            <v>Técnico de cabeamento estruturado</v>
          </cell>
          <cell r="B14">
            <v>88266</v>
          </cell>
          <cell r="C14" t="str">
            <v>7313-25</v>
          </cell>
          <cell r="D14">
            <v>35.21</v>
          </cell>
          <cell r="E14" t="str">
            <v>Horista</v>
          </cell>
          <cell r="F14">
            <v>0</v>
          </cell>
          <cell r="G14">
            <v>35.21</v>
          </cell>
        </row>
        <row r="15">
          <cell r="A15" t="str">
            <v>Técnico de manutenção eletrônica/eletrotécnico</v>
          </cell>
          <cell r="B15">
            <v>88266</v>
          </cell>
          <cell r="C15" t="str">
            <v>3132-05</v>
          </cell>
          <cell r="D15">
            <v>35.21</v>
          </cell>
          <cell r="E15" t="str">
            <v>Horista</v>
          </cell>
          <cell r="F15">
            <v>0</v>
          </cell>
          <cell r="G15">
            <v>35.21</v>
          </cell>
        </row>
        <row r="16">
          <cell r="A16" t="str">
            <v>Telhadista/Telhador</v>
          </cell>
          <cell r="B16">
            <v>88323</v>
          </cell>
          <cell r="C16" t="str">
            <v>7652-35</v>
          </cell>
          <cell r="D16">
            <v>23.87</v>
          </cell>
          <cell r="E16" t="str">
            <v>Horista</v>
          </cell>
          <cell r="F16">
            <v>18.329999999999998</v>
          </cell>
          <cell r="G16">
            <v>42.2</v>
          </cell>
        </row>
        <row r="17">
          <cell r="A17" t="str">
            <v>Serralheiro</v>
          </cell>
          <cell r="B17">
            <v>88315</v>
          </cell>
          <cell r="C17" t="str">
            <v>7244-40</v>
          </cell>
          <cell r="D17">
            <v>24.35</v>
          </cell>
          <cell r="E17" t="str">
            <v>Horista</v>
          </cell>
          <cell r="F17">
            <v>18.71</v>
          </cell>
          <cell r="G17">
            <v>43.06</v>
          </cell>
        </row>
        <row r="18">
          <cell r="A18" t="str">
            <v>Mecânico manutenção, instalação de aparelho climatização/refrigeração</v>
          </cell>
          <cell r="B18">
            <v>100308</v>
          </cell>
          <cell r="C18" t="str">
            <v>9112-5</v>
          </cell>
          <cell r="D18">
            <v>27.97</v>
          </cell>
          <cell r="E18" t="str">
            <v>Horista</v>
          </cell>
          <cell r="F18">
            <v>22.05</v>
          </cell>
          <cell r="G18">
            <v>50.019999999999996</v>
          </cell>
        </row>
        <row r="19">
          <cell r="A19" t="str">
            <v>Jardineiro</v>
          </cell>
          <cell r="B19">
            <v>88441</v>
          </cell>
          <cell r="C19" t="str">
            <v>6220-20</v>
          </cell>
          <cell r="D19">
            <v>23.64</v>
          </cell>
          <cell r="E19" t="str">
            <v>Horista</v>
          </cell>
          <cell r="F19">
            <v>18.09</v>
          </cell>
          <cell r="G19">
            <v>41.730000000000004</v>
          </cell>
        </row>
        <row r="20">
          <cell r="A20" t="str">
            <v>Encarregado geral</v>
          </cell>
          <cell r="B20">
            <v>90776</v>
          </cell>
          <cell r="C20" t="str">
            <v>7102-05</v>
          </cell>
          <cell r="D20">
            <v>34.74</v>
          </cell>
          <cell r="E20" t="str">
            <v>Horista</v>
          </cell>
          <cell r="F20">
            <v>33.639999999999993</v>
          </cell>
          <cell r="G20">
            <v>68.38</v>
          </cell>
        </row>
      </sheetData>
      <sheetData sheetId="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a de Referencia"/>
      <sheetName val="Custo Total"/>
      <sheetName val="Sede"/>
      <sheetName val="Educacao"/>
      <sheetName val="Aracatuba"/>
      <sheetName val="Barretos"/>
      <sheetName val="Botucatu"/>
      <sheetName val="Campinas"/>
      <sheetName val="Guarulhos"/>
      <sheetName val="Itapetininga"/>
      <sheetName val="Marília"/>
      <sheetName val="Osasco"/>
      <sheetName val="Prudente"/>
      <sheetName val="Rib Preto"/>
      <sheetName val="Sto André"/>
      <sheetName val="Santos"/>
      <sheetName val="S J Campos"/>
      <sheetName val="S J Rio Preto"/>
      <sheetName val="Registro_Sorocaba"/>
      <sheetName val="Sto Amaro"/>
      <sheetName val="Plan1"/>
    </sheetNames>
    <sheetDataSet>
      <sheetData sheetId="0">
        <row r="11">
          <cell r="A11" t="str">
            <v>ESPECIFICAÇÃO</v>
          </cell>
          <cell r="B11">
            <v>0</v>
          </cell>
          <cell r="C11" t="str">
            <v>Unidade</v>
          </cell>
          <cell r="D11" t="str">
            <v>*Reposição  a cada quantos MESES?</v>
          </cell>
          <cell r="E11" t="str">
            <v>Preço unitário (1)</v>
          </cell>
          <cell r="F11" t="str">
            <v>Preço unitário (2)</v>
          </cell>
          <cell r="G11" t="str">
            <v>Preço unitário (3)</v>
          </cell>
          <cell r="H11" t="str">
            <v>Preço unitário (4)</v>
          </cell>
          <cell r="I11" t="str">
            <v>Preço unitário (5)</v>
          </cell>
          <cell r="J11" t="str">
            <v>Preço Unitário (6)</v>
          </cell>
          <cell r="K11" t="str">
            <v>Preço Unitário (7)</v>
          </cell>
          <cell r="L11" t="str">
            <v>Preço Unitário (8)</v>
          </cell>
          <cell r="M11" t="str">
            <v>Preço Unitário (9)</v>
          </cell>
          <cell r="N11" t="str">
            <v>Preço Unitário (10)</v>
          </cell>
          <cell r="O11" t="str">
            <v>Preço Unitário (11)</v>
          </cell>
          <cell r="P11" t="str">
            <v>Preço Unitário (12)</v>
          </cell>
          <cell r="Q11" t="str">
            <v>Preço Unitário (13)</v>
          </cell>
          <cell r="R11" t="str">
            <v>Preço Unitário (14)</v>
          </cell>
          <cell r="S11" t="str">
            <v>Preço Unitário (15)</v>
          </cell>
          <cell r="T11" t="str">
            <v>Preço Unitário (16)</v>
          </cell>
          <cell r="U11" t="str">
            <v>Preço Unitário (17)</v>
          </cell>
          <cell r="V11" t="str">
            <v>Preço Unitário (18)</v>
          </cell>
          <cell r="W11" t="str">
            <v>Preço Unitário (19)</v>
          </cell>
          <cell r="X11" t="str">
            <v>Preço Unitário (20)</v>
          </cell>
          <cell r="Y11" t="str">
            <v>Preço Unitário (21)</v>
          </cell>
          <cell r="Z11" t="str">
            <v>Preço Unitário (22)</v>
          </cell>
          <cell r="AA11" t="str">
            <v>Preço Unitário (23)</v>
          </cell>
          <cell r="AB11" t="str">
            <v>Preço Unitário (24)</v>
          </cell>
          <cell r="AC11" t="str">
            <v>Preço Unitário (25)</v>
          </cell>
          <cell r="AD11" t="str">
            <v>Preço Unitário (26)</v>
          </cell>
          <cell r="AE11" t="str">
            <v>Preço Unitário (27)</v>
          </cell>
          <cell r="AF11" t="str">
            <v>Preço Unitário (28)</v>
          </cell>
          <cell r="AG11" t="str">
            <v>Preço Unitário (29)</v>
          </cell>
          <cell r="AH11" t="str">
            <v>Preço Unitário (30)</v>
          </cell>
          <cell r="AI11" t="str">
            <v>Preço Unitário (31)</v>
          </cell>
          <cell r="AJ11" t="str">
            <v>Preço Unitário (32)</v>
          </cell>
          <cell r="AK11" t="str">
            <v>Preço Unitário (33)</v>
          </cell>
          <cell r="AL11" t="str">
            <v>Preço Unitário (34)</v>
          </cell>
          <cell r="AM11" t="str">
            <v>Preço Unitário (35)</v>
          </cell>
          <cell r="AN11" t="str">
            <v>Preço Unitário (36)</v>
          </cell>
          <cell r="AO11" t="str">
            <v>Preço Unitário (37)</v>
          </cell>
          <cell r="AP11" t="str">
            <v>Preço Unitário (38)</v>
          </cell>
          <cell r="AQ11" t="str">
            <v>Preço Unitário (39)</v>
          </cell>
          <cell r="AR11" t="str">
            <v>Preço mediano</v>
          </cell>
          <cell r="AS11" t="str">
            <v>Preço unitário (média simples)</v>
          </cell>
          <cell r="AT11" t="str">
            <v>Preço unitário médio (desconsiderando 30% de variação para +/- )</v>
          </cell>
        </row>
        <row r="12">
          <cell r="A12" t="str">
            <v>Aspirador de pó e água, Material: tanque em aço inox, Capacidade 20 litros, tensão alimentação 220 v, características adicionais: bocais, prolongador e filtro. Potência 1.400 w.</v>
          </cell>
          <cell r="B12">
            <v>0</v>
          </cell>
          <cell r="C12" t="str">
            <v>Unidade</v>
          </cell>
          <cell r="D12">
            <v>60</v>
          </cell>
          <cell r="E12">
            <v>0</v>
          </cell>
          <cell r="F12">
            <v>800</v>
          </cell>
          <cell r="G12">
            <v>200</v>
          </cell>
          <cell r="H12">
            <v>250</v>
          </cell>
          <cell r="I12">
            <v>170</v>
          </cell>
          <cell r="J12">
            <v>1239</v>
          </cell>
          <cell r="K12">
            <v>0</v>
          </cell>
          <cell r="L12">
            <v>150</v>
          </cell>
          <cell r="M12">
            <v>300</v>
          </cell>
          <cell r="N12">
            <v>170.91</v>
          </cell>
          <cell r="O12">
            <v>400</v>
          </cell>
          <cell r="P12">
            <v>300</v>
          </cell>
          <cell r="Q12">
            <v>467.15</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300</v>
          </cell>
          <cell r="AS12">
            <v>404.27818181818179</v>
          </cell>
          <cell r="AT12">
            <v>283.33333333333331</v>
          </cell>
        </row>
        <row r="13">
          <cell r="A13" t="str">
            <v>Balde plástico de 10 litros</v>
          </cell>
          <cell r="B13">
            <v>0</v>
          </cell>
          <cell r="C13" t="str">
            <v>Unidade</v>
          </cell>
          <cell r="D13">
            <v>4</v>
          </cell>
          <cell r="E13">
            <v>7.55</v>
          </cell>
          <cell r="F13">
            <v>8.6</v>
          </cell>
          <cell r="G13">
            <v>14.27</v>
          </cell>
          <cell r="H13">
            <v>11.5</v>
          </cell>
          <cell r="I13">
            <v>0</v>
          </cell>
          <cell r="J13">
            <v>0</v>
          </cell>
          <cell r="K13">
            <v>4.8899999999999997</v>
          </cell>
          <cell r="L13">
            <v>3.5</v>
          </cell>
          <cell r="M13">
            <v>5</v>
          </cell>
          <cell r="N13">
            <v>12.63</v>
          </cell>
          <cell r="O13">
            <v>0</v>
          </cell>
          <cell r="P13">
            <v>3.66</v>
          </cell>
          <cell r="Q13">
            <v>7.55</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7.55</v>
          </cell>
          <cell r="AS13">
            <v>7.9149999999999991</v>
          </cell>
          <cell r="AT13">
            <v>7.8999999999999995</v>
          </cell>
        </row>
        <row r="14">
          <cell r="A14" t="str">
            <v>Balde plástico de 5 litros</v>
          </cell>
          <cell r="B14">
            <v>0</v>
          </cell>
          <cell r="C14" t="str">
            <v>Unidade</v>
          </cell>
          <cell r="D14">
            <v>4</v>
          </cell>
          <cell r="E14">
            <v>8.5</v>
          </cell>
          <cell r="F14">
            <v>0</v>
          </cell>
          <cell r="G14">
            <v>0</v>
          </cell>
          <cell r="H14">
            <v>0</v>
          </cell>
          <cell r="I14">
            <v>0</v>
          </cell>
          <cell r="J14">
            <v>0</v>
          </cell>
          <cell r="K14">
            <v>0</v>
          </cell>
          <cell r="L14">
            <v>0</v>
          </cell>
          <cell r="M14">
            <v>0</v>
          </cell>
          <cell r="N14">
            <v>0</v>
          </cell>
          <cell r="O14">
            <v>0</v>
          </cell>
          <cell r="P14">
            <v>0</v>
          </cell>
          <cell r="Q14">
            <v>8.5</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v>0</v>
          </cell>
          <cell r="AP14">
            <v>0</v>
          </cell>
          <cell r="AQ14">
            <v>6.41</v>
          </cell>
          <cell r="AR14">
            <v>8.5</v>
          </cell>
          <cell r="AS14">
            <v>7.8033333333333337</v>
          </cell>
          <cell r="AT14">
            <v>7.8033333333333337</v>
          </cell>
        </row>
        <row r="15">
          <cell r="A15" t="str">
            <v>Cone 75cm</v>
          </cell>
          <cell r="B15">
            <v>0</v>
          </cell>
          <cell r="C15" t="str">
            <v>Unidade</v>
          </cell>
          <cell r="D15">
            <v>60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37.47</v>
          </cell>
          <cell r="AR15">
            <v>37.47</v>
          </cell>
          <cell r="AS15">
            <v>37.47</v>
          </cell>
          <cell r="AT15">
            <v>37.47</v>
          </cell>
        </row>
        <row r="16">
          <cell r="A16" t="str">
            <v>Enceradeira industrial</v>
          </cell>
          <cell r="B16">
            <v>0</v>
          </cell>
          <cell r="C16" t="str">
            <v>Unidade</v>
          </cell>
          <cell r="D16">
            <v>60</v>
          </cell>
          <cell r="E16">
            <v>0</v>
          </cell>
          <cell r="F16">
            <v>0</v>
          </cell>
          <cell r="G16">
            <v>1219.8699999999999</v>
          </cell>
          <cell r="H16">
            <v>0</v>
          </cell>
          <cell r="I16">
            <v>0</v>
          </cell>
          <cell r="J16">
            <v>0</v>
          </cell>
          <cell r="K16">
            <v>1199</v>
          </cell>
          <cell r="L16">
            <v>750</v>
          </cell>
          <cell r="M16">
            <v>0</v>
          </cell>
          <cell r="N16">
            <v>1168</v>
          </cell>
          <cell r="O16">
            <v>1050</v>
          </cell>
          <cell r="P16">
            <v>0</v>
          </cell>
          <cell r="Q16">
            <v>970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1109</v>
          </cell>
          <cell r="AS16">
            <v>1059.4783333333332</v>
          </cell>
          <cell r="AT16">
            <v>1121.374</v>
          </cell>
        </row>
        <row r="17">
          <cell r="A17" t="str">
            <v>Escada de aço/alumínio 7 degraus</v>
          </cell>
          <cell r="B17">
            <v>0</v>
          </cell>
          <cell r="C17" t="str">
            <v>Unidade</v>
          </cell>
          <cell r="D17">
            <v>24</v>
          </cell>
          <cell r="E17">
            <v>0</v>
          </cell>
          <cell r="F17">
            <v>0</v>
          </cell>
          <cell r="G17">
            <v>331</v>
          </cell>
          <cell r="H17">
            <v>0</v>
          </cell>
          <cell r="I17">
            <v>0</v>
          </cell>
          <cell r="J17">
            <v>120</v>
          </cell>
          <cell r="K17">
            <v>150</v>
          </cell>
          <cell r="L17">
            <v>57.5</v>
          </cell>
          <cell r="M17">
            <v>0</v>
          </cell>
          <cell r="N17">
            <v>197.05</v>
          </cell>
          <cell r="O17">
            <v>180</v>
          </cell>
          <cell r="P17">
            <v>50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150</v>
          </cell>
          <cell r="AS17">
            <v>155.07857142857142</v>
          </cell>
          <cell r="AT17">
            <v>150</v>
          </cell>
        </row>
        <row r="18">
          <cell r="A18" t="str">
            <v>Escada alumínio, 3 degraus com banqueta</v>
          </cell>
          <cell r="B18">
            <v>0</v>
          </cell>
          <cell r="C18" t="str">
            <v>Unidade</v>
          </cell>
          <cell r="D18">
            <v>24</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93.09</v>
          </cell>
          <cell r="AR18">
            <v>93.09</v>
          </cell>
          <cell r="AS18">
            <v>93.09</v>
          </cell>
          <cell r="AT18">
            <v>93.09</v>
          </cell>
        </row>
        <row r="19">
          <cell r="A19" t="str">
            <v xml:space="preserve">Escada alumínio, 4  degraus </v>
          </cell>
          <cell r="B19">
            <v>0</v>
          </cell>
          <cell r="C19" t="str">
            <v>Unidade</v>
          </cell>
          <cell r="D19">
            <v>24</v>
          </cell>
          <cell r="E19">
            <v>198</v>
          </cell>
          <cell r="F19">
            <v>96</v>
          </cell>
          <cell r="G19">
            <v>0</v>
          </cell>
          <cell r="H19">
            <v>0</v>
          </cell>
          <cell r="I19">
            <v>0</v>
          </cell>
          <cell r="J19">
            <v>0</v>
          </cell>
          <cell r="K19">
            <v>0</v>
          </cell>
          <cell r="L19">
            <v>0</v>
          </cell>
          <cell r="M19">
            <v>0</v>
          </cell>
          <cell r="N19">
            <v>97.9</v>
          </cell>
          <cell r="O19">
            <v>0</v>
          </cell>
          <cell r="P19">
            <v>0</v>
          </cell>
          <cell r="Q19">
            <v>128.97999999999999</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113.44</v>
          </cell>
          <cell r="AS19">
            <v>130.22</v>
          </cell>
          <cell r="AT19">
            <v>107.62666666666667</v>
          </cell>
        </row>
        <row r="20">
          <cell r="A20" t="str">
            <v>Espanador Sintético longo</v>
          </cell>
          <cell r="B20">
            <v>0</v>
          </cell>
          <cell r="C20" t="str">
            <v>Unidade</v>
          </cell>
          <cell r="D20">
            <v>6</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11.86</v>
          </cell>
          <cell r="AR20">
            <v>11.86</v>
          </cell>
          <cell r="AS20">
            <v>11.86</v>
          </cell>
          <cell r="AT20">
            <v>11.86</v>
          </cell>
        </row>
        <row r="21">
          <cell r="A21" t="str">
            <v>Extensão Elétrica, 30 metros</v>
          </cell>
          <cell r="B21">
            <v>0</v>
          </cell>
          <cell r="C21" t="str">
            <v>Unidade</v>
          </cell>
          <cell r="D21">
            <v>12</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cell r="AQ21">
            <v>82.36</v>
          </cell>
          <cell r="AR21">
            <v>82.36</v>
          </cell>
          <cell r="AS21">
            <v>82.36</v>
          </cell>
          <cell r="AT21">
            <v>82.36</v>
          </cell>
        </row>
        <row r="22">
          <cell r="A22" t="str">
            <v>Extensão Elétrica, 40 metros</v>
          </cell>
          <cell r="B22">
            <v>0</v>
          </cell>
          <cell r="C22" t="str">
            <v>Unidade</v>
          </cell>
          <cell r="D22">
            <v>12</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47.69</v>
          </cell>
          <cell r="AR22">
            <v>47.69</v>
          </cell>
          <cell r="AS22">
            <v>47.69</v>
          </cell>
          <cell r="AT22">
            <v>47.69</v>
          </cell>
        </row>
        <row r="23">
          <cell r="A23" t="str">
            <v>Kit limpeza pesada (suporte LT)</v>
          </cell>
          <cell r="B23">
            <v>0</v>
          </cell>
          <cell r="C23" t="str">
            <v>Unidade</v>
          </cell>
          <cell r="D23">
            <v>6</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22.32</v>
          </cell>
          <cell r="AR23">
            <v>22.32</v>
          </cell>
          <cell r="AS23">
            <v>22.32</v>
          </cell>
          <cell r="AT23">
            <v>22.32</v>
          </cell>
        </row>
        <row r="24">
          <cell r="A24" t="str">
            <v>Lavadora de alta pressão, com  mangueira longa</v>
          </cell>
          <cell r="B24">
            <v>0</v>
          </cell>
          <cell r="C24" t="str">
            <v>máquina jateadora</v>
          </cell>
          <cell r="D24">
            <v>60</v>
          </cell>
          <cell r="E24">
            <v>0</v>
          </cell>
          <cell r="F24">
            <v>0</v>
          </cell>
          <cell r="G24">
            <v>869.61</v>
          </cell>
          <cell r="H24">
            <v>0</v>
          </cell>
          <cell r="I24">
            <v>0</v>
          </cell>
          <cell r="J24">
            <v>350</v>
          </cell>
          <cell r="K24">
            <v>289</v>
          </cell>
          <cell r="L24">
            <v>190</v>
          </cell>
          <cell r="M24">
            <v>280</v>
          </cell>
          <cell r="N24">
            <v>0</v>
          </cell>
          <cell r="O24">
            <v>1050</v>
          </cell>
          <cell r="P24">
            <v>0</v>
          </cell>
          <cell r="Q24">
            <v>536</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350</v>
          </cell>
          <cell r="AS24">
            <v>509.23</v>
          </cell>
          <cell r="AT24">
            <v>306.33333333333331</v>
          </cell>
        </row>
        <row r="25">
          <cell r="A25" t="str">
            <v>Lavadora tanquinho</v>
          </cell>
          <cell r="B25">
            <v>0</v>
          </cell>
          <cell r="C25" t="str">
            <v>Unidade</v>
          </cell>
          <cell r="D25">
            <v>60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448.94</v>
          </cell>
          <cell r="AR25">
            <v>448.94</v>
          </cell>
          <cell r="AS25">
            <v>448.94</v>
          </cell>
          <cell r="AT25">
            <v>448.94</v>
          </cell>
        </row>
        <row r="26">
          <cell r="A26" t="str">
            <v>Mangueira 20 metros esguicho</v>
          </cell>
          <cell r="B26">
            <v>0</v>
          </cell>
          <cell r="C26" t="str">
            <v>Unidade</v>
          </cell>
          <cell r="D26">
            <v>12</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26.53</v>
          </cell>
          <cell r="AR26">
            <v>26.53</v>
          </cell>
          <cell r="AS26">
            <v>26.53</v>
          </cell>
          <cell r="AT26">
            <v>26.53</v>
          </cell>
        </row>
        <row r="27">
          <cell r="A27" t="str">
            <v>Mangueira 60 metros esguicho</v>
          </cell>
          <cell r="B27">
            <v>0</v>
          </cell>
          <cell r="C27" t="str">
            <v>Unidade</v>
          </cell>
          <cell r="D27">
            <v>12</v>
          </cell>
          <cell r="E27">
            <v>120</v>
          </cell>
          <cell r="F27">
            <v>110</v>
          </cell>
          <cell r="G27">
            <v>0</v>
          </cell>
          <cell r="H27">
            <v>0</v>
          </cell>
          <cell r="I27">
            <v>0</v>
          </cell>
          <cell r="J27">
            <v>80</v>
          </cell>
          <cell r="K27">
            <v>59.22</v>
          </cell>
          <cell r="L27">
            <v>0</v>
          </cell>
          <cell r="M27">
            <v>40</v>
          </cell>
          <cell r="N27">
            <v>195</v>
          </cell>
          <cell r="O27">
            <v>55</v>
          </cell>
          <cell r="P27">
            <v>0</v>
          </cell>
          <cell r="Q27">
            <v>91.12</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85.56</v>
          </cell>
          <cell r="AS27">
            <v>93.792500000000004</v>
          </cell>
          <cell r="AT27">
            <v>93.706666666666663</v>
          </cell>
        </row>
        <row r="28">
          <cell r="A28" t="str">
            <v>Pá coletora de lixo. Material coletor de poliestireno. Com cabo de madeira de 80 cm.</v>
          </cell>
          <cell r="B28">
            <v>0</v>
          </cell>
          <cell r="C28" t="str">
            <v>Unidade</v>
          </cell>
          <cell r="D28">
            <v>6</v>
          </cell>
          <cell r="E28">
            <v>7.55</v>
          </cell>
          <cell r="F28">
            <v>7.2</v>
          </cell>
          <cell r="G28">
            <v>7.85</v>
          </cell>
          <cell r="H28">
            <v>3.4</v>
          </cell>
          <cell r="I28">
            <v>0</v>
          </cell>
          <cell r="J28">
            <v>22</v>
          </cell>
          <cell r="K28">
            <v>4.25</v>
          </cell>
          <cell r="L28">
            <v>2.5</v>
          </cell>
          <cell r="M28">
            <v>0</v>
          </cell>
          <cell r="N28">
            <v>31.36</v>
          </cell>
          <cell r="O28">
            <v>13</v>
          </cell>
          <cell r="P28">
            <v>2.25</v>
          </cell>
          <cell r="Q28">
            <v>7.55</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7.55</v>
          </cell>
          <cell r="AS28">
            <v>9.9009090909090904</v>
          </cell>
          <cell r="AT28">
            <v>7.5375000000000005</v>
          </cell>
        </row>
        <row r="29">
          <cell r="A29" t="str">
            <v>Pincel chato, nº 16 para limpeza de teclado</v>
          </cell>
          <cell r="B29">
            <v>0</v>
          </cell>
          <cell r="C29" t="str">
            <v>Unidade</v>
          </cell>
          <cell r="D29">
            <v>6</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2.65</v>
          </cell>
          <cell r="AR29">
            <v>2.65</v>
          </cell>
          <cell r="AS29">
            <v>2.65</v>
          </cell>
          <cell r="AT29">
            <v>2.65</v>
          </cell>
        </row>
        <row r="30">
          <cell r="A30" t="str">
            <v>Placas sinalizadoras "Piso Molhado"</v>
          </cell>
          <cell r="B30">
            <v>0</v>
          </cell>
          <cell r="C30" t="str">
            <v>Unidade</v>
          </cell>
          <cell r="D30">
            <v>24</v>
          </cell>
          <cell r="E30">
            <v>0</v>
          </cell>
          <cell r="F30">
            <v>0</v>
          </cell>
          <cell r="G30">
            <v>48.95</v>
          </cell>
          <cell r="H30">
            <v>35</v>
          </cell>
          <cell r="I30">
            <v>0</v>
          </cell>
          <cell r="J30">
            <v>33</v>
          </cell>
          <cell r="K30">
            <v>28.53</v>
          </cell>
          <cell r="L30">
            <v>15</v>
          </cell>
          <cell r="M30">
            <v>28</v>
          </cell>
          <cell r="N30">
            <v>29.9</v>
          </cell>
          <cell r="O30">
            <v>0</v>
          </cell>
          <cell r="P30">
            <v>0</v>
          </cell>
          <cell r="Q30">
            <v>32.79</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31.344999999999999</v>
          </cell>
          <cell r="AS30">
            <v>31.396250000000002</v>
          </cell>
          <cell r="AT30">
            <v>31.203333333333333</v>
          </cell>
        </row>
        <row r="31">
          <cell r="A31" t="str">
            <v>Suporte com velcro para enceradeira sem flange (semestral)</v>
          </cell>
          <cell r="B31">
            <v>0</v>
          </cell>
          <cell r="C31" t="str">
            <v>Unidade</v>
          </cell>
          <cell r="D31">
            <v>6</v>
          </cell>
          <cell r="E31">
            <v>0</v>
          </cell>
          <cell r="F31">
            <v>0</v>
          </cell>
          <cell r="G31">
            <v>0</v>
          </cell>
          <cell r="H31">
            <v>0</v>
          </cell>
          <cell r="I31">
            <v>0</v>
          </cell>
          <cell r="J31">
            <v>0</v>
          </cell>
          <cell r="K31">
            <v>0</v>
          </cell>
          <cell r="L31">
            <v>0</v>
          </cell>
          <cell r="M31">
            <v>0</v>
          </cell>
          <cell r="N31">
            <v>0</v>
          </cell>
          <cell r="O31">
            <v>0</v>
          </cell>
          <cell r="P31">
            <v>0</v>
          </cell>
          <cell r="Q31">
            <v>0</v>
          </cell>
          <cell r="R31">
            <v>49.9</v>
          </cell>
          <cell r="S31">
            <v>36.72</v>
          </cell>
          <cell r="T31">
            <v>47.99</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47.99</v>
          </cell>
          <cell r="AS31">
            <v>44.870000000000005</v>
          </cell>
          <cell r="AT31">
            <v>44.870000000000005</v>
          </cell>
        </row>
        <row r="32">
          <cell r="A32" t="str">
            <v>Rodo específico para limpeza de vidros</v>
          </cell>
          <cell r="B32">
            <v>0</v>
          </cell>
          <cell r="C32" t="str">
            <v>Unidade medindo no mínimo 40cm</v>
          </cell>
          <cell r="D32">
            <v>12</v>
          </cell>
          <cell r="E32">
            <v>0</v>
          </cell>
          <cell r="F32">
            <v>5.33</v>
          </cell>
          <cell r="G32">
            <v>0</v>
          </cell>
          <cell r="H32">
            <v>0</v>
          </cell>
          <cell r="I32">
            <v>0</v>
          </cell>
          <cell r="J32">
            <v>80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18.62</v>
          </cell>
          <cell r="AR32">
            <v>18.62</v>
          </cell>
          <cell r="AS32">
            <v>34.65</v>
          </cell>
          <cell r="AT32">
            <v>18.62</v>
          </cell>
        </row>
        <row r="33">
          <cell r="A33" t="str">
            <v>Rodo com 2 borrachas - 40cm de largura, com cabo</v>
          </cell>
          <cell r="B33">
            <v>0</v>
          </cell>
          <cell r="C33" t="str">
            <v>Unidade</v>
          </cell>
          <cell r="D33">
            <v>2</v>
          </cell>
          <cell r="E33">
            <v>17.8</v>
          </cell>
          <cell r="F33">
            <v>9.8000000000000007</v>
          </cell>
          <cell r="G33">
            <v>0</v>
          </cell>
          <cell r="H33">
            <v>3</v>
          </cell>
          <cell r="I33">
            <v>0</v>
          </cell>
          <cell r="J33">
            <v>12</v>
          </cell>
          <cell r="K33">
            <v>7.89</v>
          </cell>
          <cell r="L33">
            <v>2.5</v>
          </cell>
          <cell r="M33">
            <v>6</v>
          </cell>
          <cell r="N33">
            <v>6.77</v>
          </cell>
          <cell r="O33">
            <v>4.51</v>
          </cell>
          <cell r="P33">
            <v>5.04</v>
          </cell>
          <cell r="Q33">
            <v>17.8</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6.77</v>
          </cell>
          <cell r="AS33">
            <v>8.4645454545454566</v>
          </cell>
          <cell r="AT33">
            <v>6.4249999999999998</v>
          </cell>
        </row>
        <row r="34">
          <cell r="A34" t="str">
            <v>Vassoura para limpeza de teto</v>
          </cell>
          <cell r="B34">
            <v>0</v>
          </cell>
          <cell r="C34" t="str">
            <v>Unidade</v>
          </cell>
          <cell r="D34">
            <v>6</v>
          </cell>
          <cell r="E34">
            <v>0</v>
          </cell>
          <cell r="F34">
            <v>10.8</v>
          </cell>
          <cell r="G34">
            <v>15.22</v>
          </cell>
          <cell r="H34">
            <v>13.2</v>
          </cell>
          <cell r="I34">
            <v>0</v>
          </cell>
          <cell r="J34">
            <v>0</v>
          </cell>
          <cell r="K34">
            <v>6.89</v>
          </cell>
          <cell r="L34">
            <v>4.8</v>
          </cell>
          <cell r="M34">
            <v>6</v>
          </cell>
          <cell r="N34">
            <v>0</v>
          </cell>
          <cell r="O34">
            <v>11.07</v>
          </cell>
          <cell r="P34">
            <v>0</v>
          </cell>
          <cell r="Q34">
            <v>17.649999999999999</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10.935</v>
          </cell>
          <cell r="AS34">
            <v>10.703749999999999</v>
          </cell>
          <cell r="AT34">
            <v>11.69</v>
          </cell>
        </row>
        <row r="35">
          <cell r="A35" t="str">
            <v>Vassoura Nylon</v>
          </cell>
          <cell r="B35">
            <v>0</v>
          </cell>
          <cell r="C35" t="str">
            <v>Unidade</v>
          </cell>
          <cell r="D35">
            <v>4</v>
          </cell>
          <cell r="E35">
            <v>0</v>
          </cell>
          <cell r="F35">
            <v>0</v>
          </cell>
          <cell r="G35">
            <v>10.27</v>
          </cell>
          <cell r="H35">
            <v>0</v>
          </cell>
          <cell r="I35">
            <v>0</v>
          </cell>
          <cell r="J35">
            <v>0</v>
          </cell>
          <cell r="K35">
            <v>3.73</v>
          </cell>
          <cell r="L35">
            <v>0</v>
          </cell>
          <cell r="M35">
            <v>6</v>
          </cell>
          <cell r="N35">
            <v>0</v>
          </cell>
          <cell r="O35">
            <v>3.79</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4.8949999999999996</v>
          </cell>
          <cell r="AS35">
            <v>5.9474999999999998</v>
          </cell>
          <cell r="AT35">
            <v>4.5066666666666668</v>
          </cell>
        </row>
        <row r="36">
          <cell r="A36" t="str">
            <v>Vassoura Sanitária</v>
          </cell>
          <cell r="B36">
            <v>0</v>
          </cell>
          <cell r="C36" t="str">
            <v>Unidade</v>
          </cell>
          <cell r="D36">
            <v>4</v>
          </cell>
          <cell r="E36">
            <v>0</v>
          </cell>
          <cell r="F36">
            <v>3.6</v>
          </cell>
          <cell r="G36">
            <v>10</v>
          </cell>
          <cell r="H36">
            <v>3</v>
          </cell>
          <cell r="I36">
            <v>0</v>
          </cell>
          <cell r="J36">
            <v>4.4400000000000004</v>
          </cell>
          <cell r="K36">
            <v>1.89</v>
          </cell>
          <cell r="L36">
            <v>1.5</v>
          </cell>
          <cell r="M36">
            <v>2</v>
          </cell>
          <cell r="N36">
            <v>3.5</v>
          </cell>
          <cell r="O36">
            <v>3.13</v>
          </cell>
          <cell r="P36">
            <v>6.6</v>
          </cell>
          <cell r="Q36">
            <v>3.28</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3.28</v>
          </cell>
          <cell r="AS36">
            <v>3.9036363636363642</v>
          </cell>
          <cell r="AT36">
            <v>3.3020000000000005</v>
          </cell>
        </row>
        <row r="37">
          <cell r="A37" t="str">
            <v>Vassoura de pelo com 40cm de largura, com cabo</v>
          </cell>
          <cell r="B37">
            <v>0</v>
          </cell>
          <cell r="C37" t="str">
            <v>Unidade</v>
          </cell>
          <cell r="D37">
            <v>3</v>
          </cell>
          <cell r="E37">
            <v>0</v>
          </cell>
          <cell r="F37">
            <v>0</v>
          </cell>
          <cell r="G37">
            <v>0</v>
          </cell>
          <cell r="H37">
            <v>0</v>
          </cell>
          <cell r="I37">
            <v>0</v>
          </cell>
          <cell r="J37">
            <v>0</v>
          </cell>
          <cell r="K37">
            <v>0</v>
          </cell>
          <cell r="L37">
            <v>0</v>
          </cell>
          <cell r="M37">
            <v>6.2</v>
          </cell>
          <cell r="N37">
            <v>0</v>
          </cell>
          <cell r="O37">
            <v>0</v>
          </cell>
          <cell r="P37">
            <v>6.59</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8.3800000000000008</v>
          </cell>
          <cell r="AR37">
            <v>6.59</v>
          </cell>
          <cell r="AS37">
            <v>7.0566666666666675</v>
          </cell>
          <cell r="AT37">
            <v>7.0566666666666675</v>
          </cell>
        </row>
        <row r="38">
          <cell r="A38" t="str">
            <v>* Tempo de resposição estimado com base em outros editais da Administração Pública e histórico de contratações anteriores</v>
          </cell>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row>
        <row r="39">
          <cell r="A39" t="str">
            <v>MATERIAIS</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row>
        <row r="40">
          <cell r="A40" t="str">
            <v>ESPECIFICAÇÃO</v>
          </cell>
          <cell r="B40" t="str">
            <v>MARCA DE REFERÊNCIA</v>
          </cell>
          <cell r="C40" t="str">
            <v>Unidade</v>
          </cell>
          <cell r="D40" t="str">
            <v>*Reposição  a cada quantos MESES?</v>
          </cell>
          <cell r="E40" t="str">
            <v>Preço unitário (1)</v>
          </cell>
          <cell r="F40" t="str">
            <v>Preço unitário (2)</v>
          </cell>
          <cell r="G40" t="str">
            <v>Preço unitário (3)</v>
          </cell>
          <cell r="H40" t="str">
            <v>Preço unitário (4)</v>
          </cell>
          <cell r="I40" t="str">
            <v>Preço unitário (5)</v>
          </cell>
          <cell r="J40" t="str">
            <v>Preço Unitário (6)</v>
          </cell>
          <cell r="K40" t="str">
            <v>Preço Unitário (7)</v>
          </cell>
          <cell r="L40" t="str">
            <v>Preço Unitário (8)</v>
          </cell>
          <cell r="M40" t="str">
            <v>Preço Unitário (9)</v>
          </cell>
          <cell r="N40" t="str">
            <v>Preço Unitário (10)</v>
          </cell>
          <cell r="O40" t="str">
            <v>Preço Unitário (11)</v>
          </cell>
          <cell r="P40" t="str">
            <v>Preço Unitário (12)</v>
          </cell>
          <cell r="Q40" t="str">
            <v>Preço Unitário (13)</v>
          </cell>
          <cell r="R40" t="str">
            <v>Preço Unitário (14)</v>
          </cell>
          <cell r="S40" t="str">
            <v>Preço Unitário (15)</v>
          </cell>
          <cell r="T40" t="str">
            <v>Preço Unitário (16)</v>
          </cell>
          <cell r="U40" t="str">
            <v>Preço Unitário (17)</v>
          </cell>
          <cell r="V40" t="str">
            <v>Preço Unitário (18)</v>
          </cell>
          <cell r="W40" t="str">
            <v>Preço Unitário (19)</v>
          </cell>
          <cell r="X40" t="str">
            <v>Preço Unitário (20)</v>
          </cell>
          <cell r="Y40" t="str">
            <v>Preço Unitário (21)</v>
          </cell>
          <cell r="Z40" t="str">
            <v>Preço Unitário (22)</v>
          </cell>
          <cell r="AA40" t="str">
            <v>Preço Unitário (23)</v>
          </cell>
          <cell r="AB40" t="str">
            <v>Preço Unitário (24)</v>
          </cell>
          <cell r="AC40" t="str">
            <v>Preço Unitário (25)</v>
          </cell>
          <cell r="AD40" t="str">
            <v>Preço Unitário (26)</v>
          </cell>
          <cell r="AE40" t="str">
            <v>Preço Unitário (27)</v>
          </cell>
          <cell r="AF40" t="str">
            <v>Preço Unitário (28)</v>
          </cell>
          <cell r="AG40" t="str">
            <v>Preço Unitário (29)</v>
          </cell>
          <cell r="AH40" t="str">
            <v>Preço Unitário (30)</v>
          </cell>
          <cell r="AI40" t="str">
            <v>Preço Unitário (31)</v>
          </cell>
          <cell r="AJ40" t="str">
            <v>Preço Unitário (32)</v>
          </cell>
          <cell r="AK40" t="str">
            <v>Preço Unitário (33)</v>
          </cell>
          <cell r="AL40" t="str">
            <v>Preço Unitário (34)</v>
          </cell>
          <cell r="AM40" t="str">
            <v>Preço Unitário (35)</v>
          </cell>
          <cell r="AN40" t="str">
            <v>Preço Unitário (36)</v>
          </cell>
          <cell r="AO40" t="str">
            <v>Preço Unitário (37)</v>
          </cell>
          <cell r="AP40" t="str">
            <v>Preço Unitário (38)</v>
          </cell>
          <cell r="AQ40" t="str">
            <v>Preço Unitário (39)</v>
          </cell>
          <cell r="AR40" t="str">
            <v>Preço mediano</v>
          </cell>
          <cell r="AS40" t="str">
            <v>Preço unitário (médio)</v>
          </cell>
          <cell r="AT40" t="str">
            <v>Preço unitário médio 30% variação</v>
          </cell>
        </row>
        <row r="41">
          <cell r="A41" t="str">
            <v>Água sanitária  de 1ª qualidade</v>
          </cell>
          <cell r="B41" t="str">
            <v>BRILHANTE/YPE/CÂNDIDA ou superior</v>
          </cell>
          <cell r="C41" t="str">
            <v>Galão com 5 litros</v>
          </cell>
          <cell r="D41">
            <v>1</v>
          </cell>
          <cell r="E41">
            <v>11.32</v>
          </cell>
          <cell r="F41">
            <v>6.4</v>
          </cell>
          <cell r="G41">
            <v>15.6</v>
          </cell>
          <cell r="H41">
            <v>4.5</v>
          </cell>
          <cell r="I41">
            <v>0</v>
          </cell>
          <cell r="J41">
            <v>6</v>
          </cell>
          <cell r="K41">
            <v>7.5</v>
          </cell>
          <cell r="L41">
            <v>3.25</v>
          </cell>
          <cell r="M41">
            <v>7.5</v>
          </cell>
          <cell r="N41">
            <v>0</v>
          </cell>
          <cell r="O41">
            <v>6.95</v>
          </cell>
          <cell r="P41">
            <v>6.85</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6.9</v>
          </cell>
          <cell r="AS41">
            <v>7.5869999999999989</v>
          </cell>
          <cell r="AT41">
            <v>6.8666666666666671</v>
          </cell>
        </row>
        <row r="42">
          <cell r="A42" t="str">
            <v>Álcool sem perfume</v>
          </cell>
          <cell r="B42">
            <v>0</v>
          </cell>
          <cell r="C42" t="str">
            <v>1 litro</v>
          </cell>
          <cell r="D42">
            <v>1</v>
          </cell>
          <cell r="E42">
            <v>4.66</v>
          </cell>
          <cell r="F42">
            <v>4.8</v>
          </cell>
          <cell r="G42">
            <v>7.73</v>
          </cell>
          <cell r="H42">
            <v>0</v>
          </cell>
          <cell r="I42">
            <v>0</v>
          </cell>
          <cell r="J42">
            <v>5</v>
          </cell>
          <cell r="K42">
            <v>4.3600000000000003</v>
          </cell>
          <cell r="L42">
            <v>0</v>
          </cell>
          <cell r="M42">
            <v>10</v>
          </cell>
          <cell r="N42">
            <v>0</v>
          </cell>
          <cell r="O42">
            <v>9.64</v>
          </cell>
          <cell r="P42">
            <v>2.78</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4.9000000000000004</v>
          </cell>
          <cell r="AS42">
            <v>6.1212499999999999</v>
          </cell>
          <cell r="AT42">
            <v>4.7050000000000001</v>
          </cell>
        </row>
        <row r="43">
          <cell r="A43" t="str">
            <v>Álcool líquido 70% e/ou 90%</v>
          </cell>
          <cell r="B43" t="str">
            <v>Itajá</v>
          </cell>
          <cell r="C43" t="str">
            <v>1 litro</v>
          </cell>
          <cell r="D43">
            <v>1</v>
          </cell>
          <cell r="E43">
            <v>4.4400000000000004</v>
          </cell>
          <cell r="F43">
            <v>13</v>
          </cell>
          <cell r="G43">
            <v>3.45</v>
          </cell>
          <cell r="H43">
            <v>5</v>
          </cell>
          <cell r="I43">
            <v>0</v>
          </cell>
          <cell r="J43">
            <v>0</v>
          </cell>
          <cell r="K43">
            <v>2.79</v>
          </cell>
          <cell r="L43">
            <v>2.85</v>
          </cell>
          <cell r="M43">
            <v>0</v>
          </cell>
          <cell r="N43">
            <v>6</v>
          </cell>
          <cell r="O43">
            <v>5.65</v>
          </cell>
          <cell r="P43">
            <v>2.99</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4.4400000000000004</v>
          </cell>
          <cell r="AS43">
            <v>5.13</v>
          </cell>
          <cell r="AT43">
            <v>4.6349999999999998</v>
          </cell>
        </row>
        <row r="44">
          <cell r="A44" t="str">
            <v>Cera Líquida Branca</v>
          </cell>
          <cell r="B44" t="str">
            <v>YPE/D+ ou superior</v>
          </cell>
          <cell r="C44" t="str">
            <v>galão 5 litros</v>
          </cell>
          <cell r="D44">
            <v>1</v>
          </cell>
          <cell r="E44">
            <v>0</v>
          </cell>
          <cell r="F44">
            <v>0</v>
          </cell>
          <cell r="G44">
            <v>0</v>
          </cell>
          <cell r="H44">
            <v>15.5</v>
          </cell>
          <cell r="I44">
            <v>0</v>
          </cell>
          <cell r="J44">
            <v>0</v>
          </cell>
          <cell r="K44">
            <v>13.27</v>
          </cell>
          <cell r="L44">
            <v>11.25</v>
          </cell>
          <cell r="M44">
            <v>0</v>
          </cell>
          <cell r="N44">
            <v>0</v>
          </cell>
          <cell r="O44">
            <v>19</v>
          </cell>
          <cell r="P44">
            <v>8</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13.27</v>
          </cell>
          <cell r="AS44">
            <v>13.404</v>
          </cell>
          <cell r="AT44">
            <v>13.339999999999998</v>
          </cell>
        </row>
        <row r="45">
          <cell r="A45" t="str">
            <v>Desengraxante para pisos</v>
          </cell>
          <cell r="B45" t="str">
            <v>INGLEZA ou superior</v>
          </cell>
          <cell r="C45" t="str">
            <v>Galão com 5 litros</v>
          </cell>
          <cell r="D45">
            <v>1</v>
          </cell>
          <cell r="E45">
            <v>0</v>
          </cell>
          <cell r="F45">
            <v>22.5</v>
          </cell>
          <cell r="G45">
            <v>0</v>
          </cell>
          <cell r="H45">
            <v>0</v>
          </cell>
          <cell r="I45">
            <v>0</v>
          </cell>
          <cell r="J45">
            <v>0</v>
          </cell>
          <cell r="K45">
            <v>0</v>
          </cell>
          <cell r="L45">
            <v>0</v>
          </cell>
          <cell r="M45">
            <v>16.5</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18.62</v>
          </cell>
          <cell r="AR45">
            <v>18.62</v>
          </cell>
          <cell r="AS45">
            <v>19.206666666666667</v>
          </cell>
          <cell r="AT45">
            <v>19.206666666666667</v>
          </cell>
        </row>
        <row r="46">
          <cell r="A46" t="str">
            <v xml:space="preserve">Desinfetante de uso geral </v>
          </cell>
          <cell r="B46" t="str">
            <v>Valência</v>
          </cell>
          <cell r="C46" t="str">
            <v>galão 5 litros</v>
          </cell>
          <cell r="D46">
            <v>1</v>
          </cell>
          <cell r="E46">
            <v>8.93</v>
          </cell>
          <cell r="F46">
            <v>7.5</v>
          </cell>
          <cell r="G46">
            <v>11.16</v>
          </cell>
          <cell r="H46">
            <v>6.5</v>
          </cell>
          <cell r="I46">
            <v>0</v>
          </cell>
          <cell r="J46">
            <v>12</v>
          </cell>
          <cell r="K46">
            <v>4.8899999999999997</v>
          </cell>
          <cell r="L46">
            <v>7.5</v>
          </cell>
          <cell r="M46">
            <v>10</v>
          </cell>
          <cell r="N46">
            <v>0</v>
          </cell>
          <cell r="O46">
            <v>11.65</v>
          </cell>
          <cell r="P46">
            <v>5.47</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8.2149999999999999</v>
          </cell>
          <cell r="AS46">
            <v>8.56</v>
          </cell>
          <cell r="AT46">
            <v>8.0860000000000003</v>
          </cell>
        </row>
        <row r="47">
          <cell r="A47" t="str">
            <v>Desodorizador de ambiente, fragrância lavanda ou similar</v>
          </cell>
          <cell r="B47">
            <v>0</v>
          </cell>
          <cell r="C47" t="str">
            <v>unidade</v>
          </cell>
          <cell r="D47">
            <v>1</v>
          </cell>
          <cell r="E47">
            <v>0</v>
          </cell>
          <cell r="F47">
            <v>6.4</v>
          </cell>
          <cell r="G47">
            <v>3.9</v>
          </cell>
          <cell r="H47">
            <v>0</v>
          </cell>
          <cell r="I47">
            <v>0</v>
          </cell>
          <cell r="J47">
            <v>9.0399999999999991</v>
          </cell>
          <cell r="K47">
            <v>4.99</v>
          </cell>
          <cell r="L47">
            <v>3.8</v>
          </cell>
          <cell r="M47">
            <v>6.9</v>
          </cell>
          <cell r="N47">
            <v>0</v>
          </cell>
          <cell r="O47">
            <v>6.7</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6.4</v>
          </cell>
          <cell r="AS47">
            <v>5.9614285714285717</v>
          </cell>
          <cell r="AT47">
            <v>6.2474999999999996</v>
          </cell>
        </row>
        <row r="48">
          <cell r="A48" t="str">
            <v>Detergente</v>
          </cell>
          <cell r="B48">
            <v>0</v>
          </cell>
          <cell r="C48" t="str">
            <v>galão 5 litros</v>
          </cell>
          <cell r="D48">
            <v>1</v>
          </cell>
          <cell r="E48">
            <v>0</v>
          </cell>
          <cell r="F48">
            <v>20</v>
          </cell>
          <cell r="G48">
            <v>11.16</v>
          </cell>
          <cell r="H48">
            <v>0</v>
          </cell>
          <cell r="I48">
            <v>0</v>
          </cell>
          <cell r="J48">
            <v>0</v>
          </cell>
          <cell r="K48">
            <v>10.5</v>
          </cell>
          <cell r="L48">
            <v>5</v>
          </cell>
          <cell r="M48">
            <v>10</v>
          </cell>
          <cell r="N48">
            <v>17.5</v>
          </cell>
          <cell r="O48">
            <v>12.5</v>
          </cell>
          <cell r="P48">
            <v>8</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10.83</v>
          </cell>
          <cell r="AS48">
            <v>11.8325</v>
          </cell>
          <cell r="AT48">
            <v>10.431999999999999</v>
          </cell>
        </row>
        <row r="49">
          <cell r="A49" t="str">
            <v>Disco BR 350mm Limpador (verde)</v>
          </cell>
          <cell r="B49" t="str">
            <v>BETTANIN/BRITISH ou superior</v>
          </cell>
          <cell r="C49" t="str">
            <v>Unidade</v>
          </cell>
          <cell r="D49">
            <v>1</v>
          </cell>
          <cell r="E49">
            <v>0</v>
          </cell>
          <cell r="F49">
            <v>0</v>
          </cell>
          <cell r="G49">
            <v>0</v>
          </cell>
          <cell r="H49">
            <v>0</v>
          </cell>
          <cell r="I49">
            <v>0</v>
          </cell>
          <cell r="J49">
            <v>0</v>
          </cell>
          <cell r="K49">
            <v>0</v>
          </cell>
          <cell r="L49">
            <v>0</v>
          </cell>
          <cell r="M49">
            <v>0</v>
          </cell>
          <cell r="N49">
            <v>17.100000000000001</v>
          </cell>
          <cell r="O49">
            <v>0</v>
          </cell>
          <cell r="P49">
            <v>0</v>
          </cell>
          <cell r="Q49">
            <v>0</v>
          </cell>
          <cell r="R49">
            <v>0</v>
          </cell>
          <cell r="S49">
            <v>0</v>
          </cell>
          <cell r="T49">
            <v>0</v>
          </cell>
          <cell r="U49">
            <v>0</v>
          </cell>
          <cell r="V49">
            <v>0</v>
          </cell>
          <cell r="W49">
            <v>19.899999999999999</v>
          </cell>
          <cell r="X49">
            <v>22.77</v>
          </cell>
          <cell r="Y49">
            <v>16.239999999999998</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18.5</v>
          </cell>
          <cell r="AS49">
            <v>19.002499999999998</v>
          </cell>
          <cell r="AT49">
            <v>19.002499999999998</v>
          </cell>
        </row>
        <row r="50">
          <cell r="A50" t="str">
            <v>Disco BR 350mm Limpador (preto)</v>
          </cell>
          <cell r="B50" t="str">
            <v>BETTANIN/BRITISH ou superior</v>
          </cell>
          <cell r="C50" t="str">
            <v>Unidade</v>
          </cell>
          <cell r="D50">
            <v>1</v>
          </cell>
          <cell r="E50">
            <v>0</v>
          </cell>
          <cell r="F50">
            <v>0</v>
          </cell>
          <cell r="G50">
            <v>15.39</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13.64</v>
          </cell>
          <cell r="W50">
            <v>19.190000000000001</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15.39</v>
          </cell>
          <cell r="AS50">
            <v>16.073333333333334</v>
          </cell>
          <cell r="AT50">
            <v>16.073333333333334</v>
          </cell>
        </row>
        <row r="51">
          <cell r="A51" t="str">
            <v>Escova de mão</v>
          </cell>
          <cell r="B51" t="str">
            <v>CONDOR/BETTANIN/SANTA MARIA ou superior</v>
          </cell>
          <cell r="C51" t="str">
            <v>Unidade</v>
          </cell>
          <cell r="D51">
            <v>1</v>
          </cell>
          <cell r="E51">
            <v>0</v>
          </cell>
          <cell r="F51">
            <v>2.7</v>
          </cell>
          <cell r="G51">
            <v>0</v>
          </cell>
          <cell r="H51">
            <v>2.15</v>
          </cell>
          <cell r="I51">
            <v>0</v>
          </cell>
          <cell r="J51">
            <v>4.29</v>
          </cell>
          <cell r="K51">
            <v>0</v>
          </cell>
          <cell r="L51">
            <v>0.9</v>
          </cell>
          <cell r="M51">
            <v>2.5</v>
          </cell>
          <cell r="N51">
            <v>10.81</v>
          </cell>
          <cell r="O51">
            <v>2.8</v>
          </cell>
          <cell r="P51">
            <v>1.7</v>
          </cell>
          <cell r="Q51">
            <v>0</v>
          </cell>
          <cell r="R51">
            <v>0</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2.6</v>
          </cell>
          <cell r="AS51">
            <v>3.4812500000000002</v>
          </cell>
          <cell r="AT51">
            <v>2.5374999999999996</v>
          </cell>
        </row>
        <row r="52">
          <cell r="A52" t="str">
            <v>Espanador Sintético longo</v>
          </cell>
          <cell r="B52">
            <v>0</v>
          </cell>
          <cell r="C52" t="str">
            <v>Unidade</v>
          </cell>
          <cell r="D52">
            <v>0</v>
          </cell>
          <cell r="E52">
            <v>11.82</v>
          </cell>
          <cell r="F52">
            <v>9.8000000000000007</v>
          </cell>
          <cell r="G52">
            <v>7.56</v>
          </cell>
          <cell r="H52">
            <v>0</v>
          </cell>
          <cell r="I52">
            <v>0</v>
          </cell>
          <cell r="J52">
            <v>0</v>
          </cell>
          <cell r="K52">
            <v>7.89</v>
          </cell>
          <cell r="L52">
            <v>0</v>
          </cell>
          <cell r="M52">
            <v>0</v>
          </cell>
          <cell r="N52">
            <v>0</v>
          </cell>
          <cell r="O52">
            <v>0</v>
          </cell>
          <cell r="P52">
            <v>2.2999999999999998</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7.89</v>
          </cell>
          <cell r="AS52">
            <v>7.8739999999999997</v>
          </cell>
          <cell r="AT52">
            <v>8.4166666666666661</v>
          </cell>
        </row>
        <row r="53">
          <cell r="A53" t="str">
            <v>Esponja de fibra com dupla face (verde e amarelo)</v>
          </cell>
          <cell r="B53" t="str">
            <v>BomBril, Assolan, 3M scotch brite ou superior</v>
          </cell>
          <cell r="C53" t="str">
            <v>Unidade</v>
          </cell>
          <cell r="D53">
            <v>1</v>
          </cell>
          <cell r="E53">
            <v>0.51</v>
          </cell>
          <cell r="F53">
            <v>1.75</v>
          </cell>
          <cell r="G53">
            <v>1.25</v>
          </cell>
          <cell r="H53">
            <v>0.49</v>
          </cell>
          <cell r="I53">
            <v>0</v>
          </cell>
          <cell r="J53">
            <v>0.55000000000000004</v>
          </cell>
          <cell r="K53">
            <v>0.99</v>
          </cell>
          <cell r="L53">
            <v>0.35</v>
          </cell>
          <cell r="M53">
            <v>0.5</v>
          </cell>
          <cell r="N53">
            <v>0.33</v>
          </cell>
          <cell r="O53">
            <v>0.38</v>
          </cell>
          <cell r="P53">
            <v>0.55000000000000004</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0.51</v>
          </cell>
          <cell r="AS53">
            <v>0.69545454545454544</v>
          </cell>
          <cell r="AT53">
            <v>0.49666666666666659</v>
          </cell>
        </row>
        <row r="54">
          <cell r="A54" t="str">
            <v>Flanela branca de 1ª qualidade, medindo 40x60cm</v>
          </cell>
          <cell r="B54" t="str">
            <v>GENÉRICO</v>
          </cell>
          <cell r="C54" t="str">
            <v>Unidade</v>
          </cell>
          <cell r="D54">
            <v>1</v>
          </cell>
          <cell r="E54">
            <v>1.1499999999999999</v>
          </cell>
          <cell r="F54">
            <v>2.35</v>
          </cell>
          <cell r="G54">
            <v>1.42</v>
          </cell>
          <cell r="H54">
            <v>1.8</v>
          </cell>
          <cell r="I54">
            <v>0</v>
          </cell>
          <cell r="J54">
            <v>1.5</v>
          </cell>
          <cell r="K54">
            <v>0.75</v>
          </cell>
          <cell r="L54">
            <v>0.65</v>
          </cell>
          <cell r="M54">
            <v>1.5</v>
          </cell>
          <cell r="N54">
            <v>0</v>
          </cell>
          <cell r="O54">
            <v>1.1000000000000001</v>
          </cell>
          <cell r="P54">
            <v>1.43</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1.4249999999999998</v>
          </cell>
          <cell r="AS54">
            <v>1.3649999999999998</v>
          </cell>
          <cell r="AT54">
            <v>1.4142857142857144</v>
          </cell>
        </row>
        <row r="55">
          <cell r="A55" t="str">
            <v>Refil fibra LT do kit conjunto limpeza pesada</v>
          </cell>
          <cell r="B55">
            <v>0</v>
          </cell>
          <cell r="C55" t="str">
            <v>Unidade</v>
          </cell>
          <cell r="D55">
            <v>1</v>
          </cell>
          <cell r="E55">
            <v>0</v>
          </cell>
          <cell r="F55">
            <v>0</v>
          </cell>
          <cell r="G55">
            <v>18.5</v>
          </cell>
          <cell r="H55">
            <v>0</v>
          </cell>
          <cell r="I55">
            <v>0</v>
          </cell>
          <cell r="J55">
            <v>0</v>
          </cell>
          <cell r="K55">
            <v>0</v>
          </cell>
          <cell r="L55">
            <v>0</v>
          </cell>
          <cell r="M55">
            <v>0</v>
          </cell>
          <cell r="N55">
            <v>0</v>
          </cell>
          <cell r="O55">
            <v>0</v>
          </cell>
          <cell r="P55">
            <v>0</v>
          </cell>
          <cell r="Q55">
            <v>0</v>
          </cell>
          <cell r="R55">
            <v>0</v>
          </cell>
          <cell r="S55">
            <v>0.94</v>
          </cell>
          <cell r="T55">
            <v>0</v>
          </cell>
          <cell r="U55">
            <v>1.2</v>
          </cell>
          <cell r="V55">
            <v>1.47</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1.335</v>
          </cell>
          <cell r="AS55">
            <v>5.5274999999999999</v>
          </cell>
          <cell r="AT55">
            <v>1.2033333333333331</v>
          </cell>
        </row>
        <row r="56">
          <cell r="A56" t="str">
            <v>Lã de aço</v>
          </cell>
          <cell r="B56">
            <v>0</v>
          </cell>
          <cell r="C56" t="str">
            <v>pacote</v>
          </cell>
          <cell r="D56">
            <v>1</v>
          </cell>
          <cell r="E56">
            <v>0.81</v>
          </cell>
          <cell r="F56">
            <v>2.2000000000000002</v>
          </cell>
          <cell r="G56">
            <v>2.71</v>
          </cell>
          <cell r="H56">
            <v>0</v>
          </cell>
          <cell r="I56">
            <v>0</v>
          </cell>
          <cell r="J56">
            <v>0</v>
          </cell>
          <cell r="K56">
            <v>0.86</v>
          </cell>
          <cell r="L56">
            <v>0</v>
          </cell>
          <cell r="M56">
            <v>0.6</v>
          </cell>
          <cell r="N56">
            <v>0</v>
          </cell>
          <cell r="O56">
            <v>0</v>
          </cell>
          <cell r="P56">
            <v>1.0900000000000001</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0.97500000000000009</v>
          </cell>
          <cell r="AS56">
            <v>1.3783333333333336</v>
          </cell>
          <cell r="AT56">
            <v>0.91999999999999993</v>
          </cell>
        </row>
        <row r="57">
          <cell r="A57" t="str">
            <v>Limpa Carpetes</v>
          </cell>
          <cell r="B57">
            <v>0</v>
          </cell>
          <cell r="C57" t="str">
            <v>galão 5 litros</v>
          </cell>
          <cell r="D57">
            <v>1</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43.4</v>
          </cell>
          <cell r="AR57">
            <v>43.4</v>
          </cell>
          <cell r="AS57">
            <v>43.4</v>
          </cell>
          <cell r="AT57">
            <v>43.4</v>
          </cell>
        </row>
        <row r="58">
          <cell r="A58" t="str">
            <v>Limpa cerâmica e azulejos</v>
          </cell>
          <cell r="B58" t="str">
            <v>Azulim</v>
          </cell>
          <cell r="C58" t="str">
            <v>1 litro</v>
          </cell>
          <cell r="D58">
            <v>1</v>
          </cell>
          <cell r="E58">
            <v>0</v>
          </cell>
          <cell r="F58">
            <v>12.8</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4.97</v>
          </cell>
          <cell r="W58">
            <v>0</v>
          </cell>
          <cell r="X58">
            <v>0</v>
          </cell>
          <cell r="Y58">
            <v>0</v>
          </cell>
          <cell r="Z58">
            <v>0</v>
          </cell>
          <cell r="AA58">
            <v>0</v>
          </cell>
          <cell r="AB58">
            <v>0</v>
          </cell>
          <cell r="AC58">
            <v>5.59</v>
          </cell>
          <cell r="AD58">
            <v>4.97</v>
          </cell>
          <cell r="AE58">
            <v>0</v>
          </cell>
          <cell r="AF58">
            <v>0</v>
          </cell>
          <cell r="AG58">
            <v>0</v>
          </cell>
          <cell r="AH58">
            <v>0</v>
          </cell>
          <cell r="AI58">
            <v>0</v>
          </cell>
          <cell r="AJ58">
            <v>0</v>
          </cell>
          <cell r="AK58">
            <v>0</v>
          </cell>
          <cell r="AL58">
            <v>0</v>
          </cell>
          <cell r="AM58">
            <v>0</v>
          </cell>
          <cell r="AN58">
            <v>0</v>
          </cell>
          <cell r="AO58">
            <v>0</v>
          </cell>
          <cell r="AP58">
            <v>0</v>
          </cell>
          <cell r="AQ58">
            <v>0</v>
          </cell>
          <cell r="AR58">
            <v>5.2799999999999994</v>
          </cell>
          <cell r="AS58">
            <v>7.0824999999999996</v>
          </cell>
          <cell r="AT58">
            <v>5.1766666666666659</v>
          </cell>
        </row>
        <row r="59">
          <cell r="A59" t="str">
            <v>Limpa pedra</v>
          </cell>
          <cell r="B59" t="str">
            <v>Pedrex/Start</v>
          </cell>
          <cell r="C59" t="str">
            <v>1 litro</v>
          </cell>
          <cell r="D59">
            <v>1</v>
          </cell>
          <cell r="E59">
            <v>0</v>
          </cell>
          <cell r="F59">
            <v>0</v>
          </cell>
          <cell r="G59">
            <v>0</v>
          </cell>
          <cell r="H59">
            <v>0</v>
          </cell>
          <cell r="I59">
            <v>0</v>
          </cell>
          <cell r="J59">
            <v>0</v>
          </cell>
          <cell r="K59">
            <v>1.23</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cell r="AM59">
            <v>0</v>
          </cell>
          <cell r="AN59">
            <v>14.25</v>
          </cell>
          <cell r="AO59">
            <v>13.19</v>
          </cell>
          <cell r="AP59">
            <v>11.3</v>
          </cell>
          <cell r="AQ59">
            <v>0</v>
          </cell>
          <cell r="AR59">
            <v>12.245000000000001</v>
          </cell>
          <cell r="AS59">
            <v>9.9924999999999997</v>
          </cell>
          <cell r="AT59">
            <v>12.913333333333332</v>
          </cell>
        </row>
        <row r="60">
          <cell r="A60" t="str">
            <v>Limpa Vidros</v>
          </cell>
          <cell r="B60">
            <v>0</v>
          </cell>
          <cell r="C60" t="str">
            <v>galão 5 litros</v>
          </cell>
          <cell r="D60">
            <v>1</v>
          </cell>
          <cell r="E60">
            <v>0</v>
          </cell>
          <cell r="F60">
            <v>32.5</v>
          </cell>
          <cell r="G60">
            <v>0</v>
          </cell>
          <cell r="H60">
            <v>17</v>
          </cell>
          <cell r="I60">
            <v>0</v>
          </cell>
          <cell r="J60">
            <v>0</v>
          </cell>
          <cell r="K60">
            <v>8.25</v>
          </cell>
          <cell r="L60">
            <v>7.5</v>
          </cell>
          <cell r="M60">
            <v>12.5</v>
          </cell>
          <cell r="N60">
            <v>0</v>
          </cell>
          <cell r="O60">
            <v>17</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14.75</v>
          </cell>
          <cell r="AS60">
            <v>15.791666666666666</v>
          </cell>
          <cell r="AT60">
            <v>15.5</v>
          </cell>
        </row>
        <row r="61">
          <cell r="A61" t="str">
            <v>Limpador de inox</v>
          </cell>
          <cell r="B61" t="str">
            <v>Scoth Brite</v>
          </cell>
          <cell r="C61" t="str">
            <v>1 litro</v>
          </cell>
          <cell r="D61">
            <v>1</v>
          </cell>
          <cell r="E61">
            <v>0</v>
          </cell>
          <cell r="F61">
            <v>0</v>
          </cell>
          <cell r="G61">
            <v>104.37</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23.48</v>
          </cell>
          <cell r="AF61">
            <v>22.36</v>
          </cell>
          <cell r="AG61">
            <v>28.04</v>
          </cell>
          <cell r="AH61">
            <v>0</v>
          </cell>
          <cell r="AI61">
            <v>0</v>
          </cell>
          <cell r="AJ61">
            <v>0</v>
          </cell>
          <cell r="AK61">
            <v>0</v>
          </cell>
          <cell r="AL61">
            <v>0</v>
          </cell>
          <cell r="AM61">
            <v>0</v>
          </cell>
          <cell r="AN61">
            <v>0</v>
          </cell>
          <cell r="AO61">
            <v>0</v>
          </cell>
          <cell r="AP61">
            <v>0</v>
          </cell>
          <cell r="AQ61">
            <v>0</v>
          </cell>
          <cell r="AR61">
            <v>25.759999999999998</v>
          </cell>
          <cell r="AS61">
            <v>44.5625</v>
          </cell>
          <cell r="AT61">
            <v>24.626666666666665</v>
          </cell>
        </row>
        <row r="62">
          <cell r="A62" t="str">
            <v>Limpador multiuso</v>
          </cell>
          <cell r="B62">
            <v>0</v>
          </cell>
          <cell r="C62" t="str">
            <v>galão 5 litros</v>
          </cell>
          <cell r="D62">
            <v>1</v>
          </cell>
          <cell r="E62">
            <v>8.67</v>
          </cell>
          <cell r="F62">
            <v>28.5</v>
          </cell>
          <cell r="G62">
            <v>15.4</v>
          </cell>
          <cell r="H62">
            <v>0</v>
          </cell>
          <cell r="I62">
            <v>0</v>
          </cell>
          <cell r="J62">
            <v>39</v>
          </cell>
          <cell r="K62">
            <v>17.100000000000001</v>
          </cell>
          <cell r="L62">
            <v>17.5</v>
          </cell>
          <cell r="M62">
            <v>15</v>
          </cell>
          <cell r="N62">
            <v>10.199999999999999</v>
          </cell>
          <cell r="O62">
            <v>0</v>
          </cell>
          <cell r="P62">
            <v>21.5</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17.100000000000001</v>
          </cell>
          <cell r="AS62">
            <v>19.207777777777775</v>
          </cell>
          <cell r="AT62">
            <v>17.3</v>
          </cell>
        </row>
        <row r="63">
          <cell r="A63" t="str">
            <v>Lustra Móveis lavanda</v>
          </cell>
          <cell r="B63" t="str">
            <v>DESTAC/POLIFLOR/BRAVO ou superior</v>
          </cell>
          <cell r="C63" t="str">
            <v>Unidade com 200 ml</v>
          </cell>
          <cell r="D63">
            <v>1</v>
          </cell>
          <cell r="E63">
            <v>1.82</v>
          </cell>
          <cell r="F63">
            <v>3.15</v>
          </cell>
          <cell r="G63">
            <v>2.2999999999999998</v>
          </cell>
          <cell r="H63">
            <v>3.5</v>
          </cell>
          <cell r="I63">
            <v>0</v>
          </cell>
          <cell r="J63">
            <v>0</v>
          </cell>
          <cell r="K63">
            <v>1.89</v>
          </cell>
          <cell r="L63">
            <v>1.2</v>
          </cell>
          <cell r="M63">
            <v>2</v>
          </cell>
          <cell r="N63">
            <v>0</v>
          </cell>
          <cell r="O63">
            <v>2.4</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2.15</v>
          </cell>
          <cell r="AS63">
            <v>2.2824999999999998</v>
          </cell>
          <cell r="AT63">
            <v>2.0819999999999999</v>
          </cell>
        </row>
        <row r="64">
          <cell r="A64" t="str">
            <v>Luva látex forrada</v>
          </cell>
          <cell r="B64" t="str">
            <v>SANRO/CONFORT/SCOTCH BRITE ou superior</v>
          </cell>
          <cell r="C64" t="str">
            <v>Par</v>
          </cell>
          <cell r="D64">
            <v>1</v>
          </cell>
          <cell r="E64">
            <v>7.8</v>
          </cell>
          <cell r="F64">
            <v>0</v>
          </cell>
          <cell r="G64">
            <v>3.43</v>
          </cell>
          <cell r="H64">
            <v>3</v>
          </cell>
          <cell r="I64">
            <v>0</v>
          </cell>
          <cell r="J64">
            <v>8.6</v>
          </cell>
          <cell r="K64">
            <v>1.53</v>
          </cell>
          <cell r="L64">
            <v>1.75</v>
          </cell>
          <cell r="M64">
            <v>2.2999999999999998</v>
          </cell>
          <cell r="N64">
            <v>0</v>
          </cell>
          <cell r="O64">
            <v>2.4500000000000002</v>
          </cell>
          <cell r="P64">
            <v>2.29</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2.4500000000000002</v>
          </cell>
          <cell r="AS64">
            <v>3.6833333333333331</v>
          </cell>
          <cell r="AT64">
            <v>2.3579999999999997</v>
          </cell>
        </row>
        <row r="65">
          <cell r="A65" t="str">
            <v>MOP para pó profissional completo 60 cm cj 60p</v>
          </cell>
          <cell r="B65">
            <v>0</v>
          </cell>
          <cell r="C65" t="str">
            <v>unidade</v>
          </cell>
          <cell r="D65">
            <v>1</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36.5</v>
          </cell>
          <cell r="AR65">
            <v>36.5</v>
          </cell>
          <cell r="AS65">
            <v>36.5</v>
          </cell>
          <cell r="AT65">
            <v>36.5</v>
          </cell>
        </row>
        <row r="66">
          <cell r="A66" t="str">
            <v>Refil MOP pó 400g 60 x15 profissional rp 600</v>
          </cell>
          <cell r="B66">
            <v>0</v>
          </cell>
          <cell r="C66" t="str">
            <v>unidade</v>
          </cell>
          <cell r="D66">
            <v>1</v>
          </cell>
          <cell r="E66">
            <v>0</v>
          </cell>
          <cell r="F66">
            <v>0</v>
          </cell>
          <cell r="G66">
            <v>0</v>
          </cell>
          <cell r="H66">
            <v>0</v>
          </cell>
          <cell r="I66">
            <v>0</v>
          </cell>
          <cell r="J66">
            <v>12.19</v>
          </cell>
          <cell r="K66">
            <v>0</v>
          </cell>
          <cell r="L66">
            <v>0</v>
          </cell>
          <cell r="M66">
            <v>0</v>
          </cell>
          <cell r="N66">
            <v>0</v>
          </cell>
          <cell r="O66">
            <v>28</v>
          </cell>
          <cell r="P66">
            <v>0</v>
          </cell>
          <cell r="Q66">
            <v>0</v>
          </cell>
          <cell r="R66">
            <v>0</v>
          </cell>
          <cell r="S66">
            <v>0</v>
          </cell>
          <cell r="T66">
            <v>0</v>
          </cell>
          <cell r="U66">
            <v>0</v>
          </cell>
          <cell r="V66">
            <v>0</v>
          </cell>
          <cell r="W66">
            <v>0</v>
          </cell>
          <cell r="X66">
            <v>0</v>
          </cell>
          <cell r="Y66">
            <v>0</v>
          </cell>
          <cell r="Z66">
            <v>29.61</v>
          </cell>
          <cell r="AA66">
            <v>27.23</v>
          </cell>
          <cell r="AB66">
            <v>32.61</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28</v>
          </cell>
          <cell r="AS66">
            <v>25.927999999999997</v>
          </cell>
          <cell r="AT66">
            <v>29.362500000000001</v>
          </cell>
        </row>
        <row r="67">
          <cell r="A67" t="str">
            <v>Pano de chão/saco alvejado</v>
          </cell>
          <cell r="B67">
            <v>0</v>
          </cell>
          <cell r="C67" t="str">
            <v>unidade</v>
          </cell>
          <cell r="D67">
            <v>1</v>
          </cell>
          <cell r="E67">
            <v>2.3199999999999998</v>
          </cell>
          <cell r="F67">
            <v>2.0499999999999998</v>
          </cell>
          <cell r="G67">
            <v>2.36</v>
          </cell>
          <cell r="H67">
            <v>2.5</v>
          </cell>
          <cell r="I67">
            <v>0</v>
          </cell>
          <cell r="J67">
            <v>1.9</v>
          </cell>
          <cell r="K67">
            <v>1.25</v>
          </cell>
          <cell r="L67">
            <v>1</v>
          </cell>
          <cell r="M67">
            <v>1.2</v>
          </cell>
          <cell r="N67">
            <v>1.1399999999999999</v>
          </cell>
          <cell r="O67">
            <v>2.2999999999999998</v>
          </cell>
          <cell r="P67">
            <v>2.5499999999999998</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2.0499999999999998</v>
          </cell>
          <cell r="AS67">
            <v>1.87</v>
          </cell>
          <cell r="AT67">
            <v>2.2828571428571429</v>
          </cell>
        </row>
        <row r="68">
          <cell r="A68" t="str">
            <v>Pasta para limpeza a seco</v>
          </cell>
          <cell r="B68" t="str">
            <v>Limptek</v>
          </cell>
          <cell r="C68" t="str">
            <v>unidade 500g</v>
          </cell>
          <cell r="D68">
            <v>1</v>
          </cell>
          <cell r="E68">
            <v>0</v>
          </cell>
          <cell r="F68">
            <v>4.25</v>
          </cell>
          <cell r="G68">
            <v>4.26</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4.2549999999999999</v>
          </cell>
          <cell r="AS68">
            <v>4.2549999999999999</v>
          </cell>
          <cell r="AT68">
            <v>4.2549999999999999</v>
          </cell>
        </row>
        <row r="69">
          <cell r="A69" t="str">
            <v xml:space="preserve">Removedor  para Piso </v>
          </cell>
          <cell r="B69" t="str">
            <v>BRILHANTE/YPE/CÂNDIDA ou superior</v>
          </cell>
          <cell r="C69" t="str">
            <v>galão 5 litros</v>
          </cell>
          <cell r="D69">
            <v>6</v>
          </cell>
          <cell r="E69">
            <v>24.37</v>
          </cell>
          <cell r="F69">
            <v>22.5</v>
          </cell>
          <cell r="G69">
            <v>23.95</v>
          </cell>
          <cell r="H69">
            <v>0</v>
          </cell>
          <cell r="I69">
            <v>0</v>
          </cell>
          <cell r="J69">
            <v>0</v>
          </cell>
          <cell r="K69">
            <v>0</v>
          </cell>
          <cell r="L69">
            <v>24</v>
          </cell>
          <cell r="M69">
            <v>0</v>
          </cell>
          <cell r="N69">
            <v>0</v>
          </cell>
          <cell r="O69">
            <v>26.5</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24</v>
          </cell>
          <cell r="AS69">
            <v>24.264000000000003</v>
          </cell>
          <cell r="AT69">
            <v>24.264000000000003</v>
          </cell>
        </row>
        <row r="70">
          <cell r="A70" t="str">
            <v>Sabão de coco em barra</v>
          </cell>
          <cell r="B70">
            <v>0</v>
          </cell>
          <cell r="C70" t="str">
            <v>pacote com 5 unidades</v>
          </cell>
          <cell r="D70">
            <v>1</v>
          </cell>
          <cell r="E70">
            <v>4.1900000000000004</v>
          </cell>
          <cell r="F70">
            <v>2.5</v>
          </cell>
          <cell r="G70">
            <v>0</v>
          </cell>
          <cell r="H70">
            <v>2.5</v>
          </cell>
          <cell r="I70">
            <v>0</v>
          </cell>
          <cell r="J70">
            <v>0</v>
          </cell>
          <cell r="K70">
            <v>3.15</v>
          </cell>
          <cell r="L70">
            <v>2.5</v>
          </cell>
          <cell r="M70">
            <v>2.25</v>
          </cell>
          <cell r="N70">
            <v>0</v>
          </cell>
          <cell r="O70">
            <v>3.75</v>
          </cell>
          <cell r="P70">
            <v>2.4500000000000002</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2.5</v>
          </cell>
          <cell r="AS70">
            <v>2.9112500000000003</v>
          </cell>
          <cell r="AT70">
            <v>2.5583333333333336</v>
          </cell>
        </row>
        <row r="71">
          <cell r="A71" t="str">
            <v>Sabão em pó</v>
          </cell>
          <cell r="B71">
            <v>0</v>
          </cell>
          <cell r="C71" t="str">
            <v>caixa 1 kg</v>
          </cell>
          <cell r="D71">
            <v>1</v>
          </cell>
          <cell r="E71">
            <v>0</v>
          </cell>
          <cell r="F71">
            <v>5.6</v>
          </cell>
          <cell r="G71">
            <v>0</v>
          </cell>
          <cell r="H71">
            <v>0</v>
          </cell>
          <cell r="I71">
            <v>0</v>
          </cell>
          <cell r="J71">
            <v>7.48</v>
          </cell>
          <cell r="K71">
            <v>2.2000000000000002</v>
          </cell>
          <cell r="L71">
            <v>1.75</v>
          </cell>
          <cell r="M71">
            <v>2.2999999999999998</v>
          </cell>
          <cell r="N71">
            <v>0</v>
          </cell>
          <cell r="O71">
            <v>3.32</v>
          </cell>
          <cell r="P71">
            <v>2.2999999999999998</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2.2999999999999998</v>
          </cell>
          <cell r="AS71">
            <v>3.5642857142857145</v>
          </cell>
          <cell r="AT71">
            <v>2.1375000000000002</v>
          </cell>
        </row>
        <row r="72">
          <cell r="A72" t="str">
            <v>Saco para lixo de 100 litros, azul</v>
          </cell>
          <cell r="B72" t="str">
            <v>ZAPACK, ECOMAX REFORÇADO ou superior</v>
          </cell>
          <cell r="C72" t="str">
            <v>Fardo com 100 unidades</v>
          </cell>
          <cell r="D72">
            <v>1</v>
          </cell>
          <cell r="E72">
            <v>0</v>
          </cell>
          <cell r="F72">
            <v>30</v>
          </cell>
          <cell r="G72">
            <v>0</v>
          </cell>
          <cell r="H72">
            <v>11</v>
          </cell>
          <cell r="I72">
            <v>0</v>
          </cell>
          <cell r="J72">
            <v>0</v>
          </cell>
          <cell r="K72">
            <v>0</v>
          </cell>
          <cell r="L72">
            <v>6.5</v>
          </cell>
          <cell r="M72">
            <v>0</v>
          </cell>
          <cell r="N72">
            <v>0</v>
          </cell>
          <cell r="O72">
            <v>24</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15.29</v>
          </cell>
          <cell r="AR72">
            <v>15.29</v>
          </cell>
          <cell r="AS72">
            <v>17.357999999999997</v>
          </cell>
          <cell r="AT72">
            <v>13.145</v>
          </cell>
        </row>
        <row r="73">
          <cell r="A73" t="str">
            <v>Saco para lixo de 100 litros, cor preto</v>
          </cell>
          <cell r="B73" t="str">
            <v>ZAPACK, ECOMAX REFORÇADO ou superior</v>
          </cell>
          <cell r="C73" t="str">
            <v>Fardo com 100 unidades</v>
          </cell>
          <cell r="D73">
            <v>1</v>
          </cell>
          <cell r="E73">
            <v>0</v>
          </cell>
          <cell r="F73">
            <v>30</v>
          </cell>
          <cell r="G73">
            <v>0</v>
          </cell>
          <cell r="H73">
            <v>0</v>
          </cell>
          <cell r="I73">
            <v>0</v>
          </cell>
          <cell r="J73">
            <v>0</v>
          </cell>
          <cell r="K73">
            <v>0</v>
          </cell>
          <cell r="L73">
            <v>0</v>
          </cell>
          <cell r="M73">
            <v>0</v>
          </cell>
          <cell r="N73">
            <v>0</v>
          </cell>
          <cell r="O73">
            <v>24</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36.67</v>
          </cell>
          <cell r="AR73">
            <v>30</v>
          </cell>
          <cell r="AS73">
            <v>30.223333333333333</v>
          </cell>
          <cell r="AT73">
            <v>30.223333333333333</v>
          </cell>
        </row>
        <row r="74">
          <cell r="A74" t="str">
            <v>Saco para lixo de 20 litros,  cor preta</v>
          </cell>
          <cell r="B74" t="str">
            <v>ZAPACK, ECOMAX REFORÇADO ou superior</v>
          </cell>
          <cell r="C74" t="str">
            <v>Fardo com 100 unidades</v>
          </cell>
          <cell r="D74">
            <v>1</v>
          </cell>
          <cell r="E74">
            <v>0</v>
          </cell>
          <cell r="F74">
            <v>7.45</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4.51</v>
          </cell>
          <cell r="AR74">
            <v>5.98</v>
          </cell>
          <cell r="AS74">
            <v>5.98</v>
          </cell>
          <cell r="AT74">
            <v>5.98</v>
          </cell>
        </row>
        <row r="75">
          <cell r="A75" t="str">
            <v>Saco para lixo de 40 litros, cor preta</v>
          </cell>
          <cell r="B75" t="str">
            <v>ZAPACK, ECOMAX REFORÇADO ou superior</v>
          </cell>
          <cell r="C75" t="str">
            <v>Fardo com 100 unidades</v>
          </cell>
          <cell r="D75">
            <v>1</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12.8</v>
          </cell>
          <cell r="AR75">
            <v>12.8</v>
          </cell>
          <cell r="AS75">
            <v>12.8</v>
          </cell>
          <cell r="AT75">
            <v>12.8</v>
          </cell>
        </row>
        <row r="76">
          <cell r="A76" t="str">
            <v>Saco para lixo de 60 litros,  cor preto</v>
          </cell>
          <cell r="B76" t="str">
            <v>ZAPACK, ECOMAX REFORÇADO ou superior</v>
          </cell>
          <cell r="C76" t="str">
            <v>Fardo com 100 unidades</v>
          </cell>
          <cell r="D76">
            <v>1</v>
          </cell>
          <cell r="E76">
            <v>0</v>
          </cell>
          <cell r="F76">
            <v>10.8</v>
          </cell>
          <cell r="G76">
            <v>0</v>
          </cell>
          <cell r="H76">
            <v>6</v>
          </cell>
          <cell r="I76">
            <v>0</v>
          </cell>
          <cell r="J76">
            <v>0</v>
          </cell>
          <cell r="K76">
            <v>0</v>
          </cell>
          <cell r="L76">
            <v>0</v>
          </cell>
          <cell r="M76">
            <v>6</v>
          </cell>
          <cell r="N76">
            <v>27.8</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8.4</v>
          </cell>
          <cell r="AS76">
            <v>12.65</v>
          </cell>
          <cell r="AT76">
            <v>7.6000000000000005</v>
          </cell>
        </row>
        <row r="77">
          <cell r="A77" t="str">
            <v>Saponáceo Cremoso</v>
          </cell>
          <cell r="B77">
            <v>0</v>
          </cell>
          <cell r="C77" t="str">
            <v>frasco 300 ml</v>
          </cell>
          <cell r="D77">
            <v>1</v>
          </cell>
          <cell r="E77">
            <v>0</v>
          </cell>
          <cell r="F77">
            <v>3.2</v>
          </cell>
          <cell r="G77">
            <v>0</v>
          </cell>
          <cell r="H77">
            <v>0</v>
          </cell>
          <cell r="I77">
            <v>0</v>
          </cell>
          <cell r="J77">
            <v>0</v>
          </cell>
          <cell r="K77">
            <v>0</v>
          </cell>
          <cell r="L77">
            <v>0</v>
          </cell>
          <cell r="M77">
            <v>0</v>
          </cell>
          <cell r="N77">
            <v>0</v>
          </cell>
          <cell r="O77">
            <v>1.99</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2.56</v>
          </cell>
          <cell r="AR77">
            <v>2.56</v>
          </cell>
          <cell r="AS77">
            <v>2.5833333333333335</v>
          </cell>
          <cell r="AT77">
            <v>2.5833333333333335</v>
          </cell>
        </row>
        <row r="78">
          <cell r="A78" t="str">
            <v>Spray anti-mofo</v>
          </cell>
          <cell r="B78" t="str">
            <v>Sanol</v>
          </cell>
          <cell r="C78" t="str">
            <v>frasco 300 ml</v>
          </cell>
          <cell r="D78">
            <v>1</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22.5</v>
          </cell>
          <cell r="AH78">
            <v>16.98</v>
          </cell>
          <cell r="AI78">
            <v>18.5</v>
          </cell>
          <cell r="AJ78">
            <v>0</v>
          </cell>
          <cell r="AK78">
            <v>0</v>
          </cell>
          <cell r="AL78">
            <v>0</v>
          </cell>
          <cell r="AM78">
            <v>0</v>
          </cell>
          <cell r="AN78">
            <v>0</v>
          </cell>
          <cell r="AO78">
            <v>0</v>
          </cell>
          <cell r="AP78">
            <v>0</v>
          </cell>
          <cell r="AQ78">
            <v>0</v>
          </cell>
          <cell r="AR78">
            <v>18.5</v>
          </cell>
          <cell r="AS78">
            <v>19.326666666666668</v>
          </cell>
          <cell r="AT78">
            <v>19.326666666666668</v>
          </cell>
        </row>
        <row r="79">
          <cell r="A79" t="str">
            <v>Vaselina líquida</v>
          </cell>
          <cell r="B79">
            <v>0</v>
          </cell>
          <cell r="C79" t="str">
            <v>frasco 1 L</v>
          </cell>
          <cell r="D79">
            <v>1</v>
          </cell>
          <cell r="E79">
            <v>0</v>
          </cell>
          <cell r="F79">
            <v>0</v>
          </cell>
          <cell r="G79">
            <v>0</v>
          </cell>
          <cell r="H79">
            <v>0</v>
          </cell>
          <cell r="I79">
            <v>0</v>
          </cell>
          <cell r="J79">
            <v>24</v>
          </cell>
          <cell r="K79">
            <v>0</v>
          </cell>
          <cell r="L79">
            <v>4</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26.4</v>
          </cell>
          <cell r="AR79">
            <v>24</v>
          </cell>
          <cell r="AS79">
            <v>18.133333333333333</v>
          </cell>
          <cell r="AT79">
            <v>25.2</v>
          </cell>
        </row>
        <row r="80">
          <cell r="A80" t="str">
            <v>Limpador perfumado base de álcool</v>
          </cell>
          <cell r="B80">
            <v>0</v>
          </cell>
          <cell r="C80" t="str">
            <v>galão 5 litros</v>
          </cell>
          <cell r="D80">
            <v>1</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14</v>
          </cell>
          <cell r="AK80">
            <v>13.86</v>
          </cell>
          <cell r="AL80">
            <v>18.489999999999998</v>
          </cell>
          <cell r="AM80">
            <v>26.66</v>
          </cell>
          <cell r="AN80">
            <v>0</v>
          </cell>
          <cell r="AO80">
            <v>0</v>
          </cell>
          <cell r="AP80">
            <v>0</v>
          </cell>
          <cell r="AQ80">
            <v>0</v>
          </cell>
          <cell r="AR80">
            <v>16.244999999999997</v>
          </cell>
          <cell r="AS80">
            <v>18.252499999999998</v>
          </cell>
          <cell r="AT80">
            <v>15.449999999999998</v>
          </cell>
        </row>
        <row r="81">
          <cell r="A81" t="str">
            <v>Cera líquida incolor</v>
          </cell>
          <cell r="B81" t="str">
            <v>YPE/D+ ou superior</v>
          </cell>
          <cell r="C81" t="str">
            <v>galão 5 litros</v>
          </cell>
          <cell r="D81">
            <v>1</v>
          </cell>
          <cell r="E81">
            <v>0</v>
          </cell>
          <cell r="F81">
            <v>0</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29.23</v>
          </cell>
          <cell r="AR81">
            <v>29.23</v>
          </cell>
          <cell r="AS81">
            <v>29.23</v>
          </cell>
          <cell r="AT81">
            <v>29.23</v>
          </cell>
        </row>
        <row r="82">
          <cell r="A82" t="str">
            <v>Cera líquida preta</v>
          </cell>
          <cell r="B82" t="str">
            <v>YPE/D+ ou superior</v>
          </cell>
          <cell r="C82" t="str">
            <v>galão 5 litros</v>
          </cell>
          <cell r="D82">
            <v>1</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22.22</v>
          </cell>
          <cell r="AR82">
            <v>22.22</v>
          </cell>
          <cell r="AS82">
            <v>22.22</v>
          </cell>
          <cell r="AT82">
            <v>22.22</v>
          </cell>
        </row>
        <row r="83">
          <cell r="A83" t="str">
            <v>Óleo de Peroba</v>
          </cell>
          <cell r="B83">
            <v>0</v>
          </cell>
          <cell r="C83" t="str">
            <v>200 ml</v>
          </cell>
          <cell r="D83">
            <v>1</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10.119999999999999</v>
          </cell>
          <cell r="AR83">
            <v>10.119999999999999</v>
          </cell>
          <cell r="AS83">
            <v>10.119999999999999</v>
          </cell>
          <cell r="AT83">
            <v>10.119999999999999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quipe não residente_manut "/>
      <sheetName val="Equipe não residente eventual"/>
      <sheetName val="Composição"/>
    </sheetNames>
    <sheetDataSet>
      <sheetData sheetId="0"/>
      <sheetData sheetId="1">
        <row r="175">
          <cell r="I175">
            <v>47076.862551999999</v>
          </cell>
        </row>
      </sheetData>
      <sheetData sheetId="2">
        <row r="5">
          <cell r="F5">
            <v>26.888021000000002</v>
          </cell>
        </row>
        <row r="10">
          <cell r="F10">
            <v>147.98083499999998</v>
          </cell>
        </row>
        <row r="18">
          <cell r="F18">
            <v>28.476257</v>
          </cell>
        </row>
        <row r="19">
          <cell r="F19">
            <v>25.096164999999999</v>
          </cell>
        </row>
        <row r="20">
          <cell r="F20">
            <v>35.368794000000001</v>
          </cell>
        </row>
      </sheetData>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I33"/>
  <sheetViews>
    <sheetView zoomScale="115" zoomScaleNormal="115" workbookViewId="0">
      <selection sqref="A1:H33"/>
    </sheetView>
  </sheetViews>
  <sheetFormatPr defaultColWidth="9.140625" defaultRowHeight="12.75"/>
  <cols>
    <col min="1" max="3" width="9.140625" style="196"/>
    <col min="4" max="4" width="8.42578125" style="196" customWidth="1"/>
    <col min="5" max="5" width="32.42578125" style="196" customWidth="1"/>
    <col min="6" max="6" width="35.42578125" style="196" customWidth="1"/>
    <col min="7" max="7" width="16.140625" style="196" customWidth="1"/>
    <col min="8" max="8" width="18.140625" style="196" customWidth="1"/>
    <col min="9" max="9" width="12.5703125" style="196" bestFit="1" customWidth="1"/>
    <col min="10" max="16384" width="9.140625" style="196"/>
  </cols>
  <sheetData>
    <row r="1" spans="1:9" ht="15">
      <c r="A1" s="365" t="s">
        <v>825</v>
      </c>
      <c r="B1" s="366"/>
      <c r="C1" s="366"/>
      <c r="D1" s="366"/>
      <c r="E1" s="366"/>
      <c r="F1" s="366"/>
      <c r="G1" s="366"/>
      <c r="H1" s="367"/>
    </row>
    <row r="2" spans="1:9" ht="15">
      <c r="A2" s="365" t="s">
        <v>692</v>
      </c>
      <c r="B2" s="366"/>
      <c r="C2" s="366"/>
      <c r="D2" s="366"/>
      <c r="E2" s="366"/>
      <c r="F2" s="366"/>
      <c r="G2" s="366"/>
      <c r="H2" s="367"/>
    </row>
    <row r="3" spans="1:9" ht="27.95" customHeight="1">
      <c r="A3" s="335" t="s">
        <v>709</v>
      </c>
      <c r="B3" s="335" t="s">
        <v>710</v>
      </c>
      <c r="C3" s="335" t="s">
        <v>711</v>
      </c>
      <c r="D3" s="335" t="s">
        <v>773</v>
      </c>
      <c r="E3" s="368" t="s">
        <v>712</v>
      </c>
      <c r="F3" s="368"/>
      <c r="G3" s="335" t="s">
        <v>713</v>
      </c>
      <c r="H3" s="237" t="s">
        <v>824</v>
      </c>
    </row>
    <row r="4" spans="1:9" ht="12.75" customHeight="1">
      <c r="A4" s="346" t="s">
        <v>701</v>
      </c>
      <c r="B4" s="346">
        <v>1627</v>
      </c>
      <c r="C4" s="343">
        <v>1</v>
      </c>
      <c r="D4" s="337" t="s">
        <v>774</v>
      </c>
      <c r="E4" s="349" t="s">
        <v>792</v>
      </c>
      <c r="F4" s="333" t="s">
        <v>702</v>
      </c>
      <c r="G4" s="197">
        <f>'Quadro Resumo 1.1 e 1.2'!E3</f>
        <v>8643.6200000000008</v>
      </c>
      <c r="H4" s="221">
        <f>ROUND(G4*12,2)</f>
        <v>103723.44</v>
      </c>
    </row>
    <row r="5" spans="1:9">
      <c r="A5" s="347"/>
      <c r="B5" s="347"/>
      <c r="C5" s="344"/>
      <c r="D5" s="337" t="s">
        <v>775</v>
      </c>
      <c r="E5" s="350"/>
      <c r="F5" s="337" t="s">
        <v>703</v>
      </c>
      <c r="G5" s="197">
        <f>'Quadro Resumo 1.1 e 1.2'!E4</f>
        <v>12643.42</v>
      </c>
      <c r="H5" s="221">
        <f>ROUND(G5*12,2)</f>
        <v>151721.04</v>
      </c>
    </row>
    <row r="6" spans="1:9">
      <c r="A6" s="347"/>
      <c r="B6" s="347"/>
      <c r="C6" s="345"/>
      <c r="D6" s="332"/>
      <c r="E6" s="355"/>
      <c r="F6" s="356" t="s">
        <v>786</v>
      </c>
      <c r="G6" s="357"/>
      <c r="H6" s="222">
        <f>H4+H5</f>
        <v>255444.48000000001</v>
      </c>
    </row>
    <row r="7" spans="1:9" ht="14.45" customHeight="1">
      <c r="A7" s="347"/>
      <c r="B7" s="347"/>
      <c r="C7" s="343">
        <v>2</v>
      </c>
      <c r="D7" s="358" t="s">
        <v>777</v>
      </c>
      <c r="E7" s="349" t="s">
        <v>833</v>
      </c>
      <c r="F7" s="337" t="s">
        <v>703</v>
      </c>
      <c r="G7" s="197" t="s">
        <v>170</v>
      </c>
      <c r="H7" s="369">
        <f>'2.1'!I8</f>
        <v>216065.97999999998</v>
      </c>
    </row>
    <row r="8" spans="1:9">
      <c r="A8" s="347"/>
      <c r="B8" s="347"/>
      <c r="C8" s="344"/>
      <c r="D8" s="359"/>
      <c r="E8" s="350"/>
      <c r="F8" s="339" t="s">
        <v>704</v>
      </c>
      <c r="G8" s="197" t="s">
        <v>170</v>
      </c>
      <c r="H8" s="370"/>
    </row>
    <row r="9" spans="1:9">
      <c r="A9" s="347"/>
      <c r="B9" s="347"/>
      <c r="C9" s="344"/>
      <c r="D9" s="359"/>
      <c r="E9" s="350"/>
      <c r="F9" s="339" t="s">
        <v>705</v>
      </c>
      <c r="G9" s="197" t="s">
        <v>170</v>
      </c>
      <c r="H9" s="370"/>
    </row>
    <row r="10" spans="1:9" ht="38.25">
      <c r="A10" s="347"/>
      <c r="B10" s="347"/>
      <c r="C10" s="344"/>
      <c r="D10" s="359"/>
      <c r="E10" s="350"/>
      <c r="F10" s="223" t="s">
        <v>731</v>
      </c>
      <c r="G10" s="197" t="s">
        <v>170</v>
      </c>
      <c r="H10" s="370"/>
    </row>
    <row r="11" spans="1:9">
      <c r="A11" s="347"/>
      <c r="B11" s="347"/>
      <c r="C11" s="344"/>
      <c r="D11" s="360"/>
      <c r="E11" s="350"/>
      <c r="F11" s="338" t="s">
        <v>706</v>
      </c>
      <c r="G11" s="197" t="s">
        <v>170</v>
      </c>
      <c r="H11" s="371"/>
    </row>
    <row r="12" spans="1:9">
      <c r="A12" s="347"/>
      <c r="B12" s="347"/>
      <c r="C12" s="331"/>
      <c r="D12" s="334" t="s">
        <v>785</v>
      </c>
      <c r="E12" s="350"/>
      <c r="F12" s="224" t="s">
        <v>752</v>
      </c>
      <c r="G12" s="225">
        <f>'2.2, 3.2 e 6.3'!C10</f>
        <v>0.2669141020689656</v>
      </c>
      <c r="H12" s="336">
        <f>ROUND(H7*G12,2)</f>
        <v>57671.06</v>
      </c>
    </row>
    <row r="13" spans="1:9">
      <c r="A13" s="347"/>
      <c r="B13" s="347"/>
      <c r="C13" s="331"/>
      <c r="D13" s="334"/>
      <c r="E13" s="355"/>
      <c r="F13" s="356" t="s">
        <v>786</v>
      </c>
      <c r="G13" s="357"/>
      <c r="H13" s="222">
        <f>H7+H12</f>
        <v>273737.03999999998</v>
      </c>
    </row>
    <row r="14" spans="1:9">
      <c r="A14" s="347"/>
      <c r="B14" s="347"/>
      <c r="C14" s="343">
        <v>3</v>
      </c>
      <c r="D14" s="226"/>
      <c r="E14" s="349" t="s">
        <v>834</v>
      </c>
      <c r="F14" s="224" t="s">
        <v>787</v>
      </c>
      <c r="G14" s="197" t="s">
        <v>170</v>
      </c>
      <c r="H14" s="197">
        <v>98935.59</v>
      </c>
      <c r="I14" s="234"/>
    </row>
    <row r="15" spans="1:9">
      <c r="A15" s="347"/>
      <c r="B15" s="347"/>
      <c r="C15" s="344"/>
      <c r="D15" s="226" t="s">
        <v>778</v>
      </c>
      <c r="E15" s="350"/>
      <c r="F15" s="224" t="s">
        <v>772</v>
      </c>
      <c r="G15" s="232">
        <f>Descontos!A3</f>
        <v>0</v>
      </c>
      <c r="H15" s="197">
        <f>ROUND(H14*G15,2)</f>
        <v>0</v>
      </c>
      <c r="I15" s="227"/>
    </row>
    <row r="16" spans="1:9">
      <c r="A16" s="347"/>
      <c r="B16" s="347"/>
      <c r="C16" s="344"/>
      <c r="D16" s="226"/>
      <c r="E16" s="350"/>
      <c r="F16" s="363" t="s">
        <v>776</v>
      </c>
      <c r="G16" s="364"/>
      <c r="H16" s="197">
        <f>H14-H15</f>
        <v>98935.59</v>
      </c>
      <c r="I16" s="227"/>
    </row>
    <row r="17" spans="1:9">
      <c r="A17" s="347"/>
      <c r="B17" s="347"/>
      <c r="C17" s="344"/>
      <c r="D17" s="334" t="s">
        <v>779</v>
      </c>
      <c r="E17" s="350"/>
      <c r="F17" s="228" t="s">
        <v>752</v>
      </c>
      <c r="G17" s="229">
        <f>'2.2, 3.2 e 6.3'!C10</f>
        <v>0.2669141020689656</v>
      </c>
      <c r="H17" s="197">
        <f>ROUND(H16*G17,2)</f>
        <v>26407.3</v>
      </c>
      <c r="I17" s="227"/>
    </row>
    <row r="18" spans="1:9">
      <c r="A18" s="347"/>
      <c r="B18" s="347"/>
      <c r="C18" s="345"/>
      <c r="D18" s="334"/>
      <c r="E18" s="355"/>
      <c r="F18" s="361" t="s">
        <v>786</v>
      </c>
      <c r="G18" s="362"/>
      <c r="H18" s="230">
        <f>H16+H17</f>
        <v>125342.89</v>
      </c>
      <c r="I18" s="227"/>
    </row>
    <row r="19" spans="1:9" ht="63.75" customHeight="1">
      <c r="A19" s="347"/>
      <c r="B19" s="347"/>
      <c r="C19" s="343">
        <v>4</v>
      </c>
      <c r="D19" s="226" t="s">
        <v>780</v>
      </c>
      <c r="E19" s="349" t="s">
        <v>835</v>
      </c>
      <c r="F19" s="228" t="s">
        <v>707</v>
      </c>
      <c r="G19" s="197" t="s">
        <v>170</v>
      </c>
      <c r="H19" s="221">
        <f>'4.1'!H180</f>
        <v>346219.80999999959</v>
      </c>
    </row>
    <row r="20" spans="1:9">
      <c r="A20" s="347"/>
      <c r="B20" s="347"/>
      <c r="C20" s="344"/>
      <c r="D20" s="226" t="s">
        <v>784</v>
      </c>
      <c r="E20" s="350"/>
      <c r="F20" s="224" t="s">
        <v>752</v>
      </c>
      <c r="G20" s="225">
        <f>'4.3 e 5.3'!C10</f>
        <v>0.10890619719771633</v>
      </c>
      <c r="H20" s="221">
        <f>ROUND(H19*G20,2)</f>
        <v>37705.480000000003</v>
      </c>
    </row>
    <row r="21" spans="1:9">
      <c r="A21" s="347"/>
      <c r="B21" s="347"/>
      <c r="C21" s="345"/>
      <c r="D21" s="226"/>
      <c r="E21" s="355"/>
      <c r="F21" s="361" t="s">
        <v>786</v>
      </c>
      <c r="G21" s="362"/>
      <c r="H21" s="230">
        <f>H19+H20</f>
        <v>383925.28999999957</v>
      </c>
    </row>
    <row r="22" spans="1:9">
      <c r="A22" s="347"/>
      <c r="B22" s="347"/>
      <c r="C22" s="343">
        <v>5</v>
      </c>
      <c r="D22" s="226" t="s">
        <v>781</v>
      </c>
      <c r="E22" s="349" t="s">
        <v>820</v>
      </c>
      <c r="F22" s="224" t="s">
        <v>787</v>
      </c>
      <c r="G22" s="197" t="s">
        <v>170</v>
      </c>
      <c r="H22" s="221">
        <v>86554.95</v>
      </c>
      <c r="I22" s="234"/>
    </row>
    <row r="23" spans="1:9">
      <c r="A23" s="347"/>
      <c r="B23" s="347"/>
      <c r="C23" s="344"/>
      <c r="D23" s="226" t="s">
        <v>782</v>
      </c>
      <c r="E23" s="350"/>
      <c r="F23" s="224" t="s">
        <v>772</v>
      </c>
      <c r="G23" s="233">
        <f>Descontos!A8</f>
        <v>0</v>
      </c>
      <c r="H23" s="221">
        <f>ROUND(H22*G23,2)</f>
        <v>0</v>
      </c>
      <c r="I23" s="235"/>
    </row>
    <row r="24" spans="1:9">
      <c r="A24" s="347"/>
      <c r="B24" s="347"/>
      <c r="C24" s="344"/>
      <c r="D24" s="226"/>
      <c r="E24" s="350"/>
      <c r="F24" s="363" t="s">
        <v>776</v>
      </c>
      <c r="G24" s="364"/>
      <c r="H24" s="221">
        <f>H22-H23</f>
        <v>86554.95</v>
      </c>
    </row>
    <row r="25" spans="1:9">
      <c r="A25" s="347"/>
      <c r="B25" s="347"/>
      <c r="C25" s="344"/>
      <c r="D25" s="226" t="s">
        <v>783</v>
      </c>
      <c r="E25" s="350"/>
      <c r="F25" s="224" t="s">
        <v>752</v>
      </c>
      <c r="G25" s="225">
        <f>'4.3 e 5.3'!C10</f>
        <v>0.10890619719771633</v>
      </c>
      <c r="H25" s="221">
        <f>ROUND(H24*G25,2)</f>
        <v>9426.3700000000008</v>
      </c>
    </row>
    <row r="26" spans="1:9">
      <c r="A26" s="347"/>
      <c r="B26" s="347"/>
      <c r="C26" s="345"/>
      <c r="D26" s="334"/>
      <c r="E26" s="355"/>
      <c r="F26" s="361" t="s">
        <v>786</v>
      </c>
      <c r="G26" s="362"/>
      <c r="H26" s="230">
        <f>H24+H25</f>
        <v>95981.319999999992</v>
      </c>
    </row>
    <row r="27" spans="1:9" ht="25.5" customHeight="1">
      <c r="A27" s="347"/>
      <c r="B27" s="347"/>
      <c r="C27" s="343">
        <v>6</v>
      </c>
      <c r="D27" s="351"/>
      <c r="E27" s="349" t="s">
        <v>793</v>
      </c>
      <c r="F27" s="228" t="s">
        <v>708</v>
      </c>
      <c r="G27" s="197" t="s">
        <v>170</v>
      </c>
      <c r="H27" s="230">
        <f>'6'!E48</f>
        <v>8467.0899999999983</v>
      </c>
    </row>
    <row r="28" spans="1:9">
      <c r="A28" s="347"/>
      <c r="B28" s="347"/>
      <c r="C28" s="344"/>
      <c r="D28" s="352"/>
      <c r="E28" s="350"/>
      <c r="F28" s="224" t="s">
        <v>752</v>
      </c>
      <c r="G28" s="225">
        <f>'2.2, 3.2 e 6.3'!C10</f>
        <v>0.2669141020689656</v>
      </c>
      <c r="H28" s="221">
        <f>ROUND(H27*G28,2)</f>
        <v>2259.9899999999998</v>
      </c>
    </row>
    <row r="29" spans="1:9">
      <c r="A29" s="347"/>
      <c r="B29" s="347"/>
      <c r="C29" s="345"/>
      <c r="D29" s="353"/>
      <c r="E29" s="350"/>
      <c r="F29" s="361" t="s">
        <v>786</v>
      </c>
      <c r="G29" s="362"/>
      <c r="H29" s="230">
        <f>H27+H28</f>
        <v>10727.079999999998</v>
      </c>
    </row>
    <row r="30" spans="1:9" ht="25.5" customHeight="1">
      <c r="A30" s="347"/>
      <c r="B30" s="347"/>
      <c r="C30" s="343">
        <v>7</v>
      </c>
      <c r="D30" s="351"/>
      <c r="E30" s="349" t="s">
        <v>794</v>
      </c>
      <c r="F30" s="228" t="s">
        <v>881</v>
      </c>
      <c r="G30" s="197">
        <v>233.94</v>
      </c>
      <c r="H30" s="230">
        <f>ROUND(10*G30,2)</f>
        <v>2339.4</v>
      </c>
    </row>
    <row r="31" spans="1:9">
      <c r="A31" s="347"/>
      <c r="B31" s="347"/>
      <c r="C31" s="344"/>
      <c r="D31" s="352"/>
      <c r="E31" s="350"/>
      <c r="F31" s="224" t="s">
        <v>752</v>
      </c>
      <c r="G31" s="225">
        <f>'2.2, 3.2 e 6.3'!C10</f>
        <v>0.2669141020689656</v>
      </c>
      <c r="H31" s="221">
        <f>ROUND(H30*G31,2)</f>
        <v>624.41999999999996</v>
      </c>
    </row>
    <row r="32" spans="1:9">
      <c r="A32" s="348"/>
      <c r="B32" s="348"/>
      <c r="C32" s="345"/>
      <c r="D32" s="353"/>
      <c r="E32" s="350"/>
      <c r="F32" s="361" t="s">
        <v>786</v>
      </c>
      <c r="G32" s="362"/>
      <c r="H32" s="230">
        <f>H30+H31</f>
        <v>2963.82</v>
      </c>
    </row>
    <row r="33" spans="1:8">
      <c r="A33" s="354" t="s">
        <v>823</v>
      </c>
      <c r="B33" s="354"/>
      <c r="C33" s="354"/>
      <c r="D33" s="354"/>
      <c r="E33" s="354"/>
      <c r="F33" s="354"/>
      <c r="G33" s="354"/>
      <c r="H33" s="231">
        <f>H6+H13+H18+H21+H26+H29+H32</f>
        <v>1148121.9199999997</v>
      </c>
    </row>
  </sheetData>
  <sheetProtection password="CC3A" sheet="1" objects="1" scenarios="1" selectLockedCells="1"/>
  <mergeCells count="33">
    <mergeCell ref="A1:H1"/>
    <mergeCell ref="E3:F3"/>
    <mergeCell ref="C7:C11"/>
    <mergeCell ref="H7:H11"/>
    <mergeCell ref="C22:C26"/>
    <mergeCell ref="F24:G24"/>
    <mergeCell ref="E22:E26"/>
    <mergeCell ref="F26:G26"/>
    <mergeCell ref="E14:E18"/>
    <mergeCell ref="A2:H2"/>
    <mergeCell ref="A33:G33"/>
    <mergeCell ref="C4:C6"/>
    <mergeCell ref="E4:E6"/>
    <mergeCell ref="F6:G6"/>
    <mergeCell ref="D7:D11"/>
    <mergeCell ref="F21:G21"/>
    <mergeCell ref="C19:C21"/>
    <mergeCell ref="E19:E21"/>
    <mergeCell ref="E7:E13"/>
    <mergeCell ref="F13:G13"/>
    <mergeCell ref="F16:G16"/>
    <mergeCell ref="F18:G18"/>
    <mergeCell ref="C14:C18"/>
    <mergeCell ref="F29:G29"/>
    <mergeCell ref="F32:G32"/>
    <mergeCell ref="C30:C32"/>
    <mergeCell ref="C27:C29"/>
    <mergeCell ref="A4:A32"/>
    <mergeCell ref="B4:B32"/>
    <mergeCell ref="E30:E32"/>
    <mergeCell ref="E27:E29"/>
    <mergeCell ref="D27:D29"/>
    <mergeCell ref="D30:D32"/>
  </mergeCells>
  <printOptions horizontalCentered="1"/>
  <pageMargins left="0.51181102362204722" right="0.51181102362204722" top="0.78740157480314965" bottom="0.78740157480314965" header="0.31496062992125984" footer="0.31496062992125984"/>
  <pageSetup paperSize="9" scale="90" orientation="landscape" horizontalDpi="300" verticalDpi="300" r:id="rId1"/>
</worksheet>
</file>

<file path=xl/worksheets/sheet10.xml><?xml version="1.0" encoding="utf-8"?>
<worksheet xmlns="http://schemas.openxmlformats.org/spreadsheetml/2006/main" xmlns:r="http://schemas.openxmlformats.org/officeDocument/2006/relationships">
  <sheetPr>
    <pageSetUpPr fitToPage="1"/>
  </sheetPr>
  <dimension ref="A1:H115"/>
  <sheetViews>
    <sheetView topLeftCell="A100" zoomScaleNormal="100" workbookViewId="0">
      <selection activeCell="G107" sqref="G107"/>
    </sheetView>
  </sheetViews>
  <sheetFormatPr defaultColWidth="8.7109375" defaultRowHeight="15"/>
  <cols>
    <col min="1" max="1" width="8.7109375" style="110"/>
    <col min="2" max="2" width="64.140625" style="110" customWidth="1"/>
    <col min="3" max="3" width="8.7109375" style="110"/>
    <col min="4" max="4" width="9.85546875" style="110" customWidth="1"/>
    <col min="5" max="6" width="8.7109375" style="110"/>
    <col min="7" max="7" width="14" style="110" customWidth="1"/>
    <col min="8" max="8" width="14.28515625" style="110" customWidth="1"/>
    <col min="9" max="9" width="11.85546875" style="110" customWidth="1"/>
    <col min="10" max="16384" width="8.7109375" style="110"/>
  </cols>
  <sheetData>
    <row r="1" spans="1:8" ht="15.75">
      <c r="A1" s="624" t="s">
        <v>553</v>
      </c>
      <c r="B1" s="624"/>
      <c r="C1" s="624"/>
      <c r="D1" s="624"/>
      <c r="E1" s="624"/>
      <c r="F1" s="624"/>
      <c r="G1" s="624"/>
      <c r="H1" s="624"/>
    </row>
    <row r="2" spans="1:8" ht="45">
      <c r="A2" s="159" t="s">
        <v>263</v>
      </c>
      <c r="B2" s="159" t="s">
        <v>554</v>
      </c>
      <c r="C2" s="159" t="s">
        <v>262</v>
      </c>
      <c r="D2" s="160" t="s">
        <v>275</v>
      </c>
      <c r="E2" s="160" t="s">
        <v>276</v>
      </c>
      <c r="F2" s="219" t="s">
        <v>678</v>
      </c>
      <c r="G2" s="160" t="s">
        <v>307</v>
      </c>
      <c r="H2" s="160" t="s">
        <v>510</v>
      </c>
    </row>
    <row r="3" spans="1:8" ht="30.95" customHeight="1">
      <c r="A3" s="161">
        <v>1</v>
      </c>
      <c r="B3" s="162" t="s">
        <v>555</v>
      </c>
      <c r="C3" s="161" t="s">
        <v>556</v>
      </c>
      <c r="D3" s="163">
        <v>354551</v>
      </c>
      <c r="E3" s="164"/>
      <c r="F3" s="198">
        <v>2</v>
      </c>
      <c r="G3" s="305">
        <v>34.56</v>
      </c>
      <c r="H3" s="165">
        <f>ROUND(F3*G3,2)</f>
        <v>69.12</v>
      </c>
    </row>
    <row r="4" spans="1:8" ht="51">
      <c r="A4" s="238">
        <v>2</v>
      </c>
      <c r="B4" s="162" t="s">
        <v>557</v>
      </c>
      <c r="C4" s="161" t="s">
        <v>556</v>
      </c>
      <c r="D4" s="163">
        <v>235471</v>
      </c>
      <c r="E4" s="164"/>
      <c r="F4" s="198">
        <v>2</v>
      </c>
      <c r="G4" s="305">
        <v>130.83000000000001</v>
      </c>
      <c r="H4" s="165">
        <f t="shared" ref="H4:H67" si="0">ROUND(F4*G4,2)</f>
        <v>261.66000000000003</v>
      </c>
    </row>
    <row r="5" spans="1:8" ht="38.25">
      <c r="A5" s="238">
        <v>3</v>
      </c>
      <c r="B5" s="162" t="s">
        <v>558</v>
      </c>
      <c r="C5" s="161" t="s">
        <v>556</v>
      </c>
      <c r="D5" s="163">
        <v>253348</v>
      </c>
      <c r="E5" s="164"/>
      <c r="F5" s="198">
        <v>2</v>
      </c>
      <c r="G5" s="305">
        <v>45.13</v>
      </c>
      <c r="H5" s="165">
        <f t="shared" si="0"/>
        <v>90.26</v>
      </c>
    </row>
    <row r="6" spans="1:8" ht="38.25">
      <c r="A6" s="161">
        <v>4</v>
      </c>
      <c r="B6" s="162" t="s">
        <v>559</v>
      </c>
      <c r="C6" s="161" t="s">
        <v>556</v>
      </c>
      <c r="D6" s="163">
        <v>288117</v>
      </c>
      <c r="E6" s="164"/>
      <c r="F6" s="198">
        <v>2</v>
      </c>
      <c r="G6" s="305">
        <v>24.79</v>
      </c>
      <c r="H6" s="165">
        <f t="shared" si="0"/>
        <v>49.58</v>
      </c>
    </row>
    <row r="7" spans="1:8" ht="25.5">
      <c r="A7" s="238">
        <v>5</v>
      </c>
      <c r="B7" s="162" t="s">
        <v>560</v>
      </c>
      <c r="C7" s="161" t="s">
        <v>561</v>
      </c>
      <c r="D7" s="163">
        <v>393437</v>
      </c>
      <c r="E7" s="164"/>
      <c r="F7" s="198">
        <v>2</v>
      </c>
      <c r="G7" s="305">
        <v>185.87</v>
      </c>
      <c r="H7" s="165">
        <f t="shared" si="0"/>
        <v>371.74</v>
      </c>
    </row>
    <row r="8" spans="1:8">
      <c r="A8" s="238">
        <v>6</v>
      </c>
      <c r="B8" s="162" t="s">
        <v>562</v>
      </c>
      <c r="C8" s="161" t="s">
        <v>556</v>
      </c>
      <c r="D8" s="163">
        <v>457831</v>
      </c>
      <c r="E8" s="164"/>
      <c r="F8" s="198">
        <v>2</v>
      </c>
      <c r="G8" s="305">
        <v>131.36000000000001</v>
      </c>
      <c r="H8" s="165">
        <f t="shared" si="0"/>
        <v>262.72000000000003</v>
      </c>
    </row>
    <row r="9" spans="1:8">
      <c r="A9" s="161">
        <v>7</v>
      </c>
      <c r="B9" s="162" t="s">
        <v>563</v>
      </c>
      <c r="C9" s="161" t="s">
        <v>556</v>
      </c>
      <c r="D9" s="163">
        <v>445372</v>
      </c>
      <c r="E9" s="164"/>
      <c r="F9" s="198">
        <v>3</v>
      </c>
      <c r="G9" s="305">
        <v>59.45</v>
      </c>
      <c r="H9" s="165">
        <f t="shared" si="0"/>
        <v>178.35</v>
      </c>
    </row>
    <row r="10" spans="1:8" ht="38.25">
      <c r="A10" s="161">
        <v>8</v>
      </c>
      <c r="B10" s="162" t="s">
        <v>564</v>
      </c>
      <c r="C10" s="161" t="s">
        <v>556</v>
      </c>
      <c r="D10" s="163">
        <v>311040</v>
      </c>
      <c r="E10" s="164"/>
      <c r="F10" s="198">
        <v>2</v>
      </c>
      <c r="G10" s="305">
        <v>27.46</v>
      </c>
      <c r="H10" s="165">
        <f t="shared" si="0"/>
        <v>54.92</v>
      </c>
    </row>
    <row r="11" spans="1:8" ht="38.25">
      <c r="A11" s="161">
        <v>9</v>
      </c>
      <c r="B11" s="162" t="s">
        <v>565</v>
      </c>
      <c r="C11" s="161" t="s">
        <v>556</v>
      </c>
      <c r="D11" s="163">
        <v>393226</v>
      </c>
      <c r="E11" s="164">
        <v>38399</v>
      </c>
      <c r="F11" s="198">
        <v>3</v>
      </c>
      <c r="G11" s="305">
        <v>185.34</v>
      </c>
      <c r="H11" s="165">
        <f t="shared" si="0"/>
        <v>556.02</v>
      </c>
    </row>
    <row r="12" spans="1:8" ht="38.25">
      <c r="A12" s="238">
        <v>10</v>
      </c>
      <c r="B12" s="162" t="s">
        <v>566</v>
      </c>
      <c r="C12" s="161" t="s">
        <v>556</v>
      </c>
      <c r="D12" s="163">
        <v>224102</v>
      </c>
      <c r="E12" s="164"/>
      <c r="F12" s="198">
        <v>1</v>
      </c>
      <c r="G12" s="305">
        <v>10.15</v>
      </c>
      <c r="H12" s="165">
        <f t="shared" si="0"/>
        <v>10.15</v>
      </c>
    </row>
    <row r="13" spans="1:8" ht="51">
      <c r="A13" s="238">
        <v>11</v>
      </c>
      <c r="B13" s="162" t="s">
        <v>567</v>
      </c>
      <c r="C13" s="161" t="s">
        <v>556</v>
      </c>
      <c r="D13" s="163">
        <v>274459</v>
      </c>
      <c r="E13" s="164"/>
      <c r="F13" s="198">
        <v>1</v>
      </c>
      <c r="G13" s="305">
        <v>11.69</v>
      </c>
      <c r="H13" s="165">
        <f t="shared" si="0"/>
        <v>11.69</v>
      </c>
    </row>
    <row r="14" spans="1:8" ht="25.5">
      <c r="A14" s="161">
        <v>12</v>
      </c>
      <c r="B14" s="148" t="s">
        <v>568</v>
      </c>
      <c r="C14" s="146" t="s">
        <v>556</v>
      </c>
      <c r="D14" s="164">
        <v>468625</v>
      </c>
      <c r="E14" s="164">
        <v>2711</v>
      </c>
      <c r="F14" s="199">
        <v>1</v>
      </c>
      <c r="G14" s="305">
        <v>149.99</v>
      </c>
      <c r="H14" s="165">
        <f t="shared" si="0"/>
        <v>149.99</v>
      </c>
    </row>
    <row r="15" spans="1:8" ht="51">
      <c r="A15" s="161">
        <v>13</v>
      </c>
      <c r="B15" s="162" t="s">
        <v>569</v>
      </c>
      <c r="C15" s="161" t="s">
        <v>556</v>
      </c>
      <c r="D15" s="163">
        <v>150415</v>
      </c>
      <c r="E15" s="164"/>
      <c r="F15" s="198">
        <v>1</v>
      </c>
      <c r="G15" s="305">
        <v>31.93</v>
      </c>
      <c r="H15" s="165">
        <f t="shared" si="0"/>
        <v>31.93</v>
      </c>
    </row>
    <row r="16" spans="1:8">
      <c r="A16" s="238">
        <v>14</v>
      </c>
      <c r="B16" s="162" t="s">
        <v>570</v>
      </c>
      <c r="C16" s="161" t="s">
        <v>556</v>
      </c>
      <c r="D16" s="163">
        <v>439260</v>
      </c>
      <c r="E16" s="164"/>
      <c r="F16" s="198">
        <v>2</v>
      </c>
      <c r="G16" s="305">
        <v>38.26</v>
      </c>
      <c r="H16" s="165">
        <f t="shared" si="0"/>
        <v>76.52</v>
      </c>
    </row>
    <row r="17" spans="1:8" ht="51">
      <c r="A17" s="238">
        <v>15</v>
      </c>
      <c r="B17" s="162" t="s">
        <v>571</v>
      </c>
      <c r="C17" s="161" t="s">
        <v>556</v>
      </c>
      <c r="D17" s="163">
        <v>316846</v>
      </c>
      <c r="E17" s="164"/>
      <c r="F17" s="198">
        <v>2</v>
      </c>
      <c r="G17" s="305">
        <v>46.11</v>
      </c>
      <c r="H17" s="165">
        <f t="shared" si="0"/>
        <v>92.22</v>
      </c>
    </row>
    <row r="18" spans="1:8" ht="51">
      <c r="A18" s="161">
        <v>16</v>
      </c>
      <c r="B18" s="162" t="s">
        <v>572</v>
      </c>
      <c r="C18" s="161" t="s">
        <v>556</v>
      </c>
      <c r="D18" s="163">
        <v>331035</v>
      </c>
      <c r="E18" s="164"/>
      <c r="F18" s="198">
        <v>2</v>
      </c>
      <c r="G18" s="305">
        <v>4.32</v>
      </c>
      <c r="H18" s="165">
        <f t="shared" si="0"/>
        <v>8.64</v>
      </c>
    </row>
    <row r="19" spans="1:8" ht="51">
      <c r="A19" s="238">
        <v>17</v>
      </c>
      <c r="B19" s="162" t="s">
        <v>573</v>
      </c>
      <c r="C19" s="161" t="s">
        <v>556</v>
      </c>
      <c r="D19" s="163">
        <v>360123</v>
      </c>
      <c r="E19" s="164"/>
      <c r="F19" s="198">
        <v>2</v>
      </c>
      <c r="G19" s="305">
        <v>10.99</v>
      </c>
      <c r="H19" s="165">
        <f t="shared" si="0"/>
        <v>21.98</v>
      </c>
    </row>
    <row r="20" spans="1:8" ht="38.25">
      <c r="A20" s="238">
        <v>18</v>
      </c>
      <c r="B20" s="162" t="s">
        <v>574</v>
      </c>
      <c r="C20" s="161" t="s">
        <v>556</v>
      </c>
      <c r="D20" s="163">
        <v>388031</v>
      </c>
      <c r="E20" s="164"/>
      <c r="F20" s="198">
        <v>2</v>
      </c>
      <c r="G20" s="305">
        <v>13.79</v>
      </c>
      <c r="H20" s="165">
        <f t="shared" si="0"/>
        <v>27.58</v>
      </c>
    </row>
    <row r="21" spans="1:8" ht="51">
      <c r="A21" s="238">
        <v>19</v>
      </c>
      <c r="B21" s="162" t="s">
        <v>575</v>
      </c>
      <c r="C21" s="161" t="s">
        <v>556</v>
      </c>
      <c r="D21" s="163">
        <v>360121</v>
      </c>
      <c r="E21" s="164"/>
      <c r="F21" s="198">
        <v>2</v>
      </c>
      <c r="G21" s="305">
        <v>13.07</v>
      </c>
      <c r="H21" s="165">
        <f t="shared" si="0"/>
        <v>26.14</v>
      </c>
    </row>
    <row r="22" spans="1:8" ht="25.5">
      <c r="A22" s="238">
        <v>20</v>
      </c>
      <c r="B22" s="162" t="s">
        <v>576</v>
      </c>
      <c r="C22" s="161" t="s">
        <v>556</v>
      </c>
      <c r="D22" s="163">
        <v>238635</v>
      </c>
      <c r="E22" s="164"/>
      <c r="F22" s="198">
        <v>2</v>
      </c>
      <c r="G22" s="305">
        <v>9.4499999999999993</v>
      </c>
      <c r="H22" s="165">
        <f t="shared" si="0"/>
        <v>18.899999999999999</v>
      </c>
    </row>
    <row r="23" spans="1:8" ht="25.5">
      <c r="A23" s="238">
        <v>21</v>
      </c>
      <c r="B23" s="162" t="s">
        <v>577</v>
      </c>
      <c r="C23" s="161" t="s">
        <v>556</v>
      </c>
      <c r="D23" s="163">
        <v>236970</v>
      </c>
      <c r="E23" s="164"/>
      <c r="F23" s="198">
        <v>2</v>
      </c>
      <c r="G23" s="305">
        <v>6.98</v>
      </c>
      <c r="H23" s="165">
        <f t="shared" si="0"/>
        <v>13.96</v>
      </c>
    </row>
    <row r="24" spans="1:8" ht="25.5">
      <c r="A24" s="238">
        <v>22</v>
      </c>
      <c r="B24" s="162" t="s">
        <v>578</v>
      </c>
      <c r="C24" s="161" t="s">
        <v>556</v>
      </c>
      <c r="D24" s="163">
        <v>236968</v>
      </c>
      <c r="E24" s="164"/>
      <c r="F24" s="198">
        <v>2</v>
      </c>
      <c r="G24" s="305">
        <v>10.16</v>
      </c>
      <c r="H24" s="165">
        <f t="shared" si="0"/>
        <v>20.32</v>
      </c>
    </row>
    <row r="25" spans="1:8">
      <c r="A25" s="238">
        <v>23</v>
      </c>
      <c r="B25" s="162" t="s">
        <v>579</v>
      </c>
      <c r="C25" s="161" t="s">
        <v>556</v>
      </c>
      <c r="D25" s="163">
        <v>238629</v>
      </c>
      <c r="E25" s="164"/>
      <c r="F25" s="198">
        <v>2</v>
      </c>
      <c r="G25" s="305">
        <v>15.63</v>
      </c>
      <c r="H25" s="165">
        <f t="shared" si="0"/>
        <v>31.26</v>
      </c>
    </row>
    <row r="26" spans="1:8" ht="51">
      <c r="A26" s="238">
        <v>24</v>
      </c>
      <c r="B26" s="162" t="s">
        <v>580</v>
      </c>
      <c r="C26" s="161" t="s">
        <v>556</v>
      </c>
      <c r="D26" s="163">
        <v>274828</v>
      </c>
      <c r="E26" s="164"/>
      <c r="F26" s="198">
        <v>2</v>
      </c>
      <c r="G26" s="305">
        <v>225.13</v>
      </c>
      <c r="H26" s="165">
        <f t="shared" si="0"/>
        <v>450.26</v>
      </c>
    </row>
    <row r="27" spans="1:8" ht="25.5">
      <c r="A27" s="238">
        <v>25</v>
      </c>
      <c r="B27" s="162" t="s">
        <v>581</v>
      </c>
      <c r="C27" s="161" t="s">
        <v>556</v>
      </c>
      <c r="D27" s="163">
        <v>361082</v>
      </c>
      <c r="E27" s="164"/>
      <c r="F27" s="198">
        <v>2</v>
      </c>
      <c r="G27" s="305">
        <v>14.21</v>
      </c>
      <c r="H27" s="165">
        <f t="shared" si="0"/>
        <v>28.42</v>
      </c>
    </row>
    <row r="28" spans="1:8" ht="25.5">
      <c r="A28" s="161">
        <v>26</v>
      </c>
      <c r="B28" s="162" t="s">
        <v>582</v>
      </c>
      <c r="C28" s="161" t="s">
        <v>556</v>
      </c>
      <c r="D28" s="163">
        <v>360983</v>
      </c>
      <c r="E28" s="164"/>
      <c r="F28" s="198">
        <v>2</v>
      </c>
      <c r="G28" s="305">
        <v>10.67</v>
      </c>
      <c r="H28" s="165">
        <f t="shared" si="0"/>
        <v>21.34</v>
      </c>
    </row>
    <row r="29" spans="1:8" ht="25.5">
      <c r="A29" s="161">
        <v>27</v>
      </c>
      <c r="B29" s="162" t="s">
        <v>583</v>
      </c>
      <c r="C29" s="161" t="s">
        <v>556</v>
      </c>
      <c r="D29" s="163">
        <v>279613</v>
      </c>
      <c r="E29" s="164"/>
      <c r="F29" s="198">
        <v>2</v>
      </c>
      <c r="G29" s="305">
        <v>11.66</v>
      </c>
      <c r="H29" s="165">
        <f t="shared" si="0"/>
        <v>23.32</v>
      </c>
    </row>
    <row r="30" spans="1:8" ht="51">
      <c r="A30" s="161">
        <v>28</v>
      </c>
      <c r="B30" s="162" t="s">
        <v>584</v>
      </c>
      <c r="C30" s="161" t="s">
        <v>556</v>
      </c>
      <c r="D30" s="163">
        <v>389055</v>
      </c>
      <c r="E30" s="164"/>
      <c r="F30" s="198">
        <v>2</v>
      </c>
      <c r="G30" s="305">
        <v>17.55</v>
      </c>
      <c r="H30" s="165">
        <f t="shared" si="0"/>
        <v>35.1</v>
      </c>
    </row>
    <row r="31" spans="1:8" ht="25.5">
      <c r="A31" s="238">
        <v>29</v>
      </c>
      <c r="B31" s="162" t="s">
        <v>585</v>
      </c>
      <c r="C31" s="161" t="s">
        <v>556</v>
      </c>
      <c r="D31" s="163">
        <v>338408</v>
      </c>
      <c r="E31" s="164"/>
      <c r="F31" s="198">
        <v>2</v>
      </c>
      <c r="G31" s="305">
        <v>121.99</v>
      </c>
      <c r="H31" s="165">
        <f t="shared" si="0"/>
        <v>243.98</v>
      </c>
    </row>
    <row r="32" spans="1:8" ht="38.25">
      <c r="A32" s="238">
        <v>30</v>
      </c>
      <c r="B32" s="162" t="s">
        <v>586</v>
      </c>
      <c r="C32" s="161" t="s">
        <v>556</v>
      </c>
      <c r="D32" s="163">
        <v>6734</v>
      </c>
      <c r="E32" s="164"/>
      <c r="F32" s="199">
        <v>3</v>
      </c>
      <c r="G32" s="305">
        <v>142.12</v>
      </c>
      <c r="H32" s="165">
        <f t="shared" si="0"/>
        <v>426.36</v>
      </c>
    </row>
    <row r="33" spans="1:8" ht="25.5">
      <c r="A33" s="161">
        <v>31</v>
      </c>
      <c r="B33" s="162" t="s">
        <v>587</v>
      </c>
      <c r="C33" s="161" t="s">
        <v>556</v>
      </c>
      <c r="D33" s="163">
        <v>423357</v>
      </c>
      <c r="E33" s="164"/>
      <c r="F33" s="198">
        <v>2</v>
      </c>
      <c r="G33" s="305">
        <v>11.82</v>
      </c>
      <c r="H33" s="165">
        <f t="shared" si="0"/>
        <v>23.64</v>
      </c>
    </row>
    <row r="34" spans="1:8" ht="38.25">
      <c r="A34" s="238">
        <v>32</v>
      </c>
      <c r="B34" s="162" t="s">
        <v>588</v>
      </c>
      <c r="C34" s="161" t="s">
        <v>556</v>
      </c>
      <c r="D34" s="163">
        <v>370238</v>
      </c>
      <c r="E34" s="164"/>
      <c r="F34" s="198">
        <v>2</v>
      </c>
      <c r="G34" s="305">
        <v>28.75</v>
      </c>
      <c r="H34" s="165">
        <f t="shared" si="0"/>
        <v>57.5</v>
      </c>
    </row>
    <row r="35" spans="1:8" ht="51">
      <c r="A35" s="238">
        <v>33</v>
      </c>
      <c r="B35" s="162" t="s">
        <v>589</v>
      </c>
      <c r="C35" s="161" t="s">
        <v>556</v>
      </c>
      <c r="D35" s="163">
        <v>264064</v>
      </c>
      <c r="E35" s="164"/>
      <c r="F35" s="198">
        <v>2</v>
      </c>
      <c r="G35" s="305">
        <v>38.979999999999997</v>
      </c>
      <c r="H35" s="165">
        <f t="shared" si="0"/>
        <v>77.959999999999994</v>
      </c>
    </row>
    <row r="36" spans="1:8" ht="38.25">
      <c r="A36" s="238">
        <v>34</v>
      </c>
      <c r="B36" s="162" t="s">
        <v>590</v>
      </c>
      <c r="C36" s="161" t="s">
        <v>556</v>
      </c>
      <c r="D36" s="163">
        <v>312827</v>
      </c>
      <c r="E36" s="164"/>
      <c r="F36" s="198">
        <v>2</v>
      </c>
      <c r="G36" s="305">
        <v>163.5</v>
      </c>
      <c r="H36" s="165">
        <f t="shared" si="0"/>
        <v>327</v>
      </c>
    </row>
    <row r="37" spans="1:8" ht="51">
      <c r="A37" s="238">
        <v>35</v>
      </c>
      <c r="B37" s="162" t="s">
        <v>591</v>
      </c>
      <c r="C37" s="161" t="s">
        <v>556</v>
      </c>
      <c r="D37" s="163">
        <v>371966</v>
      </c>
      <c r="E37" s="164"/>
      <c r="F37" s="198">
        <v>2</v>
      </c>
      <c r="G37" s="305">
        <v>241.78</v>
      </c>
      <c r="H37" s="165">
        <f t="shared" si="0"/>
        <v>483.56</v>
      </c>
    </row>
    <row r="38" spans="1:8" ht="38.25">
      <c r="A38" s="161">
        <v>36</v>
      </c>
      <c r="B38" s="162" t="s">
        <v>592</v>
      </c>
      <c r="C38" s="161" t="s">
        <v>556</v>
      </c>
      <c r="D38" s="163">
        <v>296200</v>
      </c>
      <c r="E38" s="164">
        <v>38369</v>
      </c>
      <c r="F38" s="198">
        <v>2</v>
      </c>
      <c r="G38" s="305">
        <v>15.01</v>
      </c>
      <c r="H38" s="165">
        <f t="shared" si="0"/>
        <v>30.02</v>
      </c>
    </row>
    <row r="39" spans="1:8" ht="25.5">
      <c r="A39" s="161">
        <v>37</v>
      </c>
      <c r="B39" s="162" t="s">
        <v>593</v>
      </c>
      <c r="C39" s="161" t="s">
        <v>556</v>
      </c>
      <c r="D39" s="163">
        <v>226830</v>
      </c>
      <c r="E39" s="164">
        <v>38403</v>
      </c>
      <c r="F39" s="198">
        <v>1</v>
      </c>
      <c r="G39" s="305">
        <v>37.15</v>
      </c>
      <c r="H39" s="165">
        <f t="shared" si="0"/>
        <v>37.15</v>
      </c>
    </row>
    <row r="40" spans="1:8" ht="25.5">
      <c r="A40" s="238">
        <v>38</v>
      </c>
      <c r="B40" s="162" t="s">
        <v>594</v>
      </c>
      <c r="C40" s="161" t="s">
        <v>556</v>
      </c>
      <c r="D40" s="163">
        <v>245941</v>
      </c>
      <c r="E40" s="164">
        <v>38476</v>
      </c>
      <c r="F40" s="198">
        <v>2</v>
      </c>
      <c r="G40" s="305">
        <v>441.44</v>
      </c>
      <c r="H40" s="165">
        <f t="shared" si="0"/>
        <v>882.88</v>
      </c>
    </row>
    <row r="41" spans="1:8" ht="38.25">
      <c r="A41" s="161">
        <v>39</v>
      </c>
      <c r="B41" s="162" t="s">
        <v>595</v>
      </c>
      <c r="C41" s="161" t="s">
        <v>556</v>
      </c>
      <c r="D41" s="163">
        <v>326738</v>
      </c>
      <c r="E41" s="164">
        <v>38477</v>
      </c>
      <c r="F41" s="198">
        <v>1</v>
      </c>
      <c r="G41" s="305">
        <v>790.86</v>
      </c>
      <c r="H41" s="165">
        <f t="shared" si="0"/>
        <v>790.86</v>
      </c>
    </row>
    <row r="42" spans="1:8" ht="25.5">
      <c r="A42" s="161">
        <v>40</v>
      </c>
      <c r="B42" s="162" t="s">
        <v>596</v>
      </c>
      <c r="C42" s="161" t="s">
        <v>556</v>
      </c>
      <c r="D42" s="163">
        <v>224115</v>
      </c>
      <c r="E42" s="164"/>
      <c r="F42" s="198">
        <v>2</v>
      </c>
      <c r="G42" s="305">
        <v>8.1</v>
      </c>
      <c r="H42" s="165">
        <f t="shared" si="0"/>
        <v>16.2</v>
      </c>
    </row>
    <row r="43" spans="1:8" ht="25.5">
      <c r="A43" s="238">
        <v>41</v>
      </c>
      <c r="B43" s="162" t="s">
        <v>597</v>
      </c>
      <c r="C43" s="161" t="s">
        <v>556</v>
      </c>
      <c r="D43" s="163">
        <v>224113</v>
      </c>
      <c r="E43" s="164"/>
      <c r="F43" s="198">
        <v>2</v>
      </c>
      <c r="G43" s="305">
        <v>13</v>
      </c>
      <c r="H43" s="165">
        <f t="shared" si="0"/>
        <v>26</v>
      </c>
    </row>
    <row r="44" spans="1:8" ht="25.5">
      <c r="A44" s="161">
        <v>42</v>
      </c>
      <c r="B44" s="162" t="s">
        <v>598</v>
      </c>
      <c r="C44" s="161" t="s">
        <v>556</v>
      </c>
      <c r="D44" s="163">
        <v>224112</v>
      </c>
      <c r="E44" s="164">
        <v>38367</v>
      </c>
      <c r="F44" s="198">
        <v>2</v>
      </c>
      <c r="G44" s="305">
        <v>15</v>
      </c>
      <c r="H44" s="165">
        <f t="shared" si="0"/>
        <v>30</v>
      </c>
    </row>
    <row r="45" spans="1:8" ht="25.5">
      <c r="A45" s="161">
        <v>43</v>
      </c>
      <c r="B45" s="162" t="s">
        <v>599</v>
      </c>
      <c r="C45" s="161" t="s">
        <v>556</v>
      </c>
      <c r="D45" s="163">
        <v>459435</v>
      </c>
      <c r="E45" s="164">
        <v>38380</v>
      </c>
      <c r="F45" s="198">
        <v>2</v>
      </c>
      <c r="G45" s="305">
        <v>23.84</v>
      </c>
      <c r="H45" s="165">
        <f t="shared" si="0"/>
        <v>47.68</v>
      </c>
    </row>
    <row r="46" spans="1:8" ht="25.5">
      <c r="A46" s="238">
        <v>44</v>
      </c>
      <c r="B46" s="162" t="s">
        <v>600</v>
      </c>
      <c r="C46" s="161" t="s">
        <v>556</v>
      </c>
      <c r="D46" s="163">
        <v>411451</v>
      </c>
      <c r="E46" s="164"/>
      <c r="F46" s="198">
        <v>3</v>
      </c>
      <c r="G46" s="305">
        <v>8.26</v>
      </c>
      <c r="H46" s="165">
        <f t="shared" si="0"/>
        <v>24.78</v>
      </c>
    </row>
    <row r="47" spans="1:8" ht="38.25">
      <c r="A47" s="161">
        <v>45</v>
      </c>
      <c r="B47" s="162" t="s">
        <v>601</v>
      </c>
      <c r="C47" s="161" t="s">
        <v>556</v>
      </c>
      <c r="D47" s="163">
        <v>411449</v>
      </c>
      <c r="E47" s="164">
        <v>38384</v>
      </c>
      <c r="F47" s="198">
        <v>3</v>
      </c>
      <c r="G47" s="305">
        <v>21.79</v>
      </c>
      <c r="H47" s="165">
        <f t="shared" si="0"/>
        <v>65.37</v>
      </c>
    </row>
    <row r="48" spans="1:8">
      <c r="A48" s="161">
        <v>46</v>
      </c>
      <c r="B48" s="148" t="s">
        <v>829</v>
      </c>
      <c r="C48" s="146" t="s">
        <v>602</v>
      </c>
      <c r="D48" s="163">
        <v>451652</v>
      </c>
      <c r="E48" s="164"/>
      <c r="F48" s="199">
        <v>2</v>
      </c>
      <c r="G48" s="305">
        <v>389.59</v>
      </c>
      <c r="H48" s="165">
        <f t="shared" si="0"/>
        <v>779.18</v>
      </c>
    </row>
    <row r="49" spans="1:8">
      <c r="A49" s="238">
        <v>47</v>
      </c>
      <c r="B49" s="148" t="s">
        <v>830</v>
      </c>
      <c r="C49" s="146" t="s">
        <v>556</v>
      </c>
      <c r="D49" s="163">
        <v>320552</v>
      </c>
      <c r="E49" s="164"/>
      <c r="F49" s="199">
        <v>1</v>
      </c>
      <c r="G49" s="305">
        <v>416.67</v>
      </c>
      <c r="H49" s="165">
        <f t="shared" si="0"/>
        <v>416.67</v>
      </c>
    </row>
    <row r="50" spans="1:8" ht="25.5">
      <c r="A50" s="161">
        <v>48</v>
      </c>
      <c r="B50" s="162" t="s">
        <v>603</v>
      </c>
      <c r="C50" s="161" t="s">
        <v>556</v>
      </c>
      <c r="D50" s="163">
        <v>249757</v>
      </c>
      <c r="E50" s="164"/>
      <c r="F50" s="198">
        <v>1</v>
      </c>
      <c r="G50" s="305">
        <v>14.21</v>
      </c>
      <c r="H50" s="165">
        <f t="shared" si="0"/>
        <v>14.21</v>
      </c>
    </row>
    <row r="51" spans="1:8" ht="25.5">
      <c r="A51" s="238">
        <v>49</v>
      </c>
      <c r="B51" s="162" t="s">
        <v>604</v>
      </c>
      <c r="C51" s="161" t="s">
        <v>556</v>
      </c>
      <c r="D51" s="163">
        <v>249751</v>
      </c>
      <c r="E51" s="164"/>
      <c r="F51" s="198">
        <v>1</v>
      </c>
      <c r="G51" s="305">
        <v>20.84</v>
      </c>
      <c r="H51" s="165">
        <f t="shared" si="0"/>
        <v>20.84</v>
      </c>
    </row>
    <row r="52" spans="1:8" ht="25.5">
      <c r="A52" s="238">
        <v>50</v>
      </c>
      <c r="B52" s="162" t="s">
        <v>605</v>
      </c>
      <c r="C52" s="161" t="s">
        <v>556</v>
      </c>
      <c r="D52" s="163">
        <v>249750</v>
      </c>
      <c r="E52" s="164"/>
      <c r="F52" s="198">
        <v>1</v>
      </c>
      <c r="G52" s="305">
        <v>20.52</v>
      </c>
      <c r="H52" s="165">
        <f t="shared" si="0"/>
        <v>20.52</v>
      </c>
    </row>
    <row r="53" spans="1:8" ht="25.5">
      <c r="A53" s="238">
        <v>51</v>
      </c>
      <c r="B53" s="162" t="s">
        <v>606</v>
      </c>
      <c r="C53" s="161" t="s">
        <v>556</v>
      </c>
      <c r="D53" s="163">
        <v>249752</v>
      </c>
      <c r="E53" s="164"/>
      <c r="F53" s="198">
        <v>1</v>
      </c>
      <c r="G53" s="305">
        <v>27.6</v>
      </c>
      <c r="H53" s="165">
        <f t="shared" si="0"/>
        <v>27.6</v>
      </c>
    </row>
    <row r="54" spans="1:8" ht="51">
      <c r="A54" s="238">
        <v>52</v>
      </c>
      <c r="B54" s="162" t="s">
        <v>607</v>
      </c>
      <c r="C54" s="161" t="s">
        <v>556</v>
      </c>
      <c r="D54" s="163">
        <v>267169</v>
      </c>
      <c r="E54" s="164"/>
      <c r="F54" s="198">
        <v>2</v>
      </c>
      <c r="G54" s="305">
        <v>222.85</v>
      </c>
      <c r="H54" s="165">
        <f t="shared" si="0"/>
        <v>445.7</v>
      </c>
    </row>
    <row r="55" spans="1:8" ht="76.5">
      <c r="A55" s="238">
        <v>53</v>
      </c>
      <c r="B55" s="162" t="s">
        <v>608</v>
      </c>
      <c r="C55" s="161" t="s">
        <v>556</v>
      </c>
      <c r="D55" s="163">
        <v>329383</v>
      </c>
      <c r="E55" s="164"/>
      <c r="F55" s="198">
        <v>2</v>
      </c>
      <c r="G55" s="305">
        <v>100.93</v>
      </c>
      <c r="H55" s="165">
        <f t="shared" si="0"/>
        <v>201.86</v>
      </c>
    </row>
    <row r="56" spans="1:8" ht="25.5">
      <c r="A56" s="161">
        <v>54</v>
      </c>
      <c r="B56" s="166" t="s">
        <v>609</v>
      </c>
      <c r="C56" s="167" t="s">
        <v>610</v>
      </c>
      <c r="D56" s="163">
        <v>256554</v>
      </c>
      <c r="E56" s="164"/>
      <c r="F56" s="200">
        <v>3</v>
      </c>
      <c r="G56" s="305">
        <v>2.57</v>
      </c>
      <c r="H56" s="165">
        <f t="shared" si="0"/>
        <v>7.71</v>
      </c>
    </row>
    <row r="57" spans="1:8" ht="25.5">
      <c r="A57" s="238">
        <v>55</v>
      </c>
      <c r="B57" s="162" t="s">
        <v>611</v>
      </c>
      <c r="C57" s="161" t="s">
        <v>556</v>
      </c>
      <c r="D57" s="163">
        <v>339532</v>
      </c>
      <c r="E57" s="164"/>
      <c r="F57" s="198">
        <v>2</v>
      </c>
      <c r="G57" s="305">
        <v>30.24</v>
      </c>
      <c r="H57" s="165">
        <f t="shared" si="0"/>
        <v>60.48</v>
      </c>
    </row>
    <row r="58" spans="1:8" ht="51">
      <c r="A58" s="238">
        <v>56</v>
      </c>
      <c r="B58" s="162" t="s">
        <v>612</v>
      </c>
      <c r="C58" s="161" t="s">
        <v>556</v>
      </c>
      <c r="D58" s="163">
        <v>225672</v>
      </c>
      <c r="E58" s="164"/>
      <c r="F58" s="198">
        <v>2</v>
      </c>
      <c r="G58" s="305">
        <v>51.53</v>
      </c>
      <c r="H58" s="165">
        <f t="shared" si="0"/>
        <v>103.06</v>
      </c>
    </row>
    <row r="59" spans="1:8">
      <c r="A59" s="238">
        <v>57</v>
      </c>
      <c r="B59" s="162" t="s">
        <v>613</v>
      </c>
      <c r="C59" s="161" t="s">
        <v>556</v>
      </c>
      <c r="D59" s="163">
        <v>391961</v>
      </c>
      <c r="E59" s="164"/>
      <c r="F59" s="198">
        <v>2</v>
      </c>
      <c r="G59" s="305">
        <v>54.16</v>
      </c>
      <c r="H59" s="165">
        <f t="shared" si="0"/>
        <v>108.32</v>
      </c>
    </row>
    <row r="60" spans="1:8" ht="25.5">
      <c r="A60" s="238">
        <v>58</v>
      </c>
      <c r="B60" s="162" t="s">
        <v>614</v>
      </c>
      <c r="C60" s="161" t="s">
        <v>556</v>
      </c>
      <c r="D60" s="163">
        <v>338118</v>
      </c>
      <c r="E60" s="164"/>
      <c r="F60" s="198">
        <v>2</v>
      </c>
      <c r="G60" s="305">
        <v>68.84</v>
      </c>
      <c r="H60" s="165">
        <f t="shared" si="0"/>
        <v>137.68</v>
      </c>
    </row>
    <row r="61" spans="1:8" ht="38.25">
      <c r="A61" s="238">
        <v>59</v>
      </c>
      <c r="B61" s="162" t="s">
        <v>615</v>
      </c>
      <c r="C61" s="161" t="s">
        <v>556</v>
      </c>
      <c r="D61" s="163">
        <v>377499</v>
      </c>
      <c r="E61" s="164"/>
      <c r="F61" s="198">
        <v>1</v>
      </c>
      <c r="G61" s="305">
        <v>105.07</v>
      </c>
      <c r="H61" s="165">
        <f t="shared" si="0"/>
        <v>105.07</v>
      </c>
    </row>
    <row r="62" spans="1:8" ht="38.25">
      <c r="A62" s="161">
        <v>60</v>
      </c>
      <c r="B62" s="162" t="s">
        <v>616</v>
      </c>
      <c r="C62" s="161" t="s">
        <v>556</v>
      </c>
      <c r="D62" s="163">
        <v>377500</v>
      </c>
      <c r="E62" s="164"/>
      <c r="F62" s="198">
        <v>1</v>
      </c>
      <c r="G62" s="305">
        <v>17.78</v>
      </c>
      <c r="H62" s="165">
        <f t="shared" si="0"/>
        <v>17.78</v>
      </c>
    </row>
    <row r="63" spans="1:8" ht="38.25">
      <c r="A63" s="161">
        <v>61</v>
      </c>
      <c r="B63" s="162" t="s">
        <v>617</v>
      </c>
      <c r="C63" s="161" t="s">
        <v>556</v>
      </c>
      <c r="D63" s="163">
        <v>377501</v>
      </c>
      <c r="E63" s="164"/>
      <c r="F63" s="198">
        <v>1</v>
      </c>
      <c r="G63" s="305">
        <v>31.51</v>
      </c>
      <c r="H63" s="165">
        <f t="shared" si="0"/>
        <v>31.51</v>
      </c>
    </row>
    <row r="64" spans="1:8" ht="25.5">
      <c r="A64" s="161">
        <v>62</v>
      </c>
      <c r="B64" s="162" t="s">
        <v>618</v>
      </c>
      <c r="C64" s="161" t="s">
        <v>556</v>
      </c>
      <c r="D64" s="163">
        <v>237399</v>
      </c>
      <c r="E64" s="164"/>
      <c r="F64" s="198">
        <v>2</v>
      </c>
      <c r="G64" s="305">
        <v>20.78</v>
      </c>
      <c r="H64" s="165">
        <f t="shared" si="0"/>
        <v>41.56</v>
      </c>
    </row>
    <row r="65" spans="1:8">
      <c r="A65" s="238">
        <v>63</v>
      </c>
      <c r="B65" s="162" t="s">
        <v>619</v>
      </c>
      <c r="C65" s="161" t="s">
        <v>556</v>
      </c>
      <c r="D65" s="163">
        <v>380101</v>
      </c>
      <c r="E65" s="164"/>
      <c r="F65" s="198">
        <v>1</v>
      </c>
      <c r="G65" s="305">
        <v>43.55</v>
      </c>
      <c r="H65" s="165">
        <f t="shared" si="0"/>
        <v>43.55</v>
      </c>
    </row>
    <row r="66" spans="1:8" ht="25.5">
      <c r="A66" s="238">
        <v>64</v>
      </c>
      <c r="B66" s="162" t="s">
        <v>620</v>
      </c>
      <c r="C66" s="161" t="s">
        <v>556</v>
      </c>
      <c r="D66" s="163">
        <v>217691</v>
      </c>
      <c r="E66" s="164"/>
      <c r="F66" s="198">
        <v>2</v>
      </c>
      <c r="G66" s="305">
        <v>23</v>
      </c>
      <c r="H66" s="165">
        <f t="shared" si="0"/>
        <v>46</v>
      </c>
    </row>
    <row r="67" spans="1:8" ht="38.25">
      <c r="A67" s="238">
        <v>65</v>
      </c>
      <c r="B67" s="162" t="s">
        <v>621</v>
      </c>
      <c r="C67" s="161" t="s">
        <v>556</v>
      </c>
      <c r="D67" s="163">
        <v>312507</v>
      </c>
      <c r="E67" s="164"/>
      <c r="F67" s="198">
        <v>1</v>
      </c>
      <c r="G67" s="305">
        <v>17.46</v>
      </c>
      <c r="H67" s="165">
        <f t="shared" si="0"/>
        <v>17.46</v>
      </c>
    </row>
    <row r="68" spans="1:8">
      <c r="A68" s="161">
        <v>66</v>
      </c>
      <c r="B68" s="162" t="s">
        <v>622</v>
      </c>
      <c r="C68" s="161" t="s">
        <v>556</v>
      </c>
      <c r="D68" s="163">
        <v>8435</v>
      </c>
      <c r="E68" s="164"/>
      <c r="F68" s="198">
        <v>1</v>
      </c>
      <c r="G68" s="305">
        <v>41.83</v>
      </c>
      <c r="H68" s="165">
        <f t="shared" ref="H68:H107" si="1">ROUND(F68*G68,2)</f>
        <v>41.83</v>
      </c>
    </row>
    <row r="69" spans="1:8">
      <c r="A69" s="161">
        <v>67</v>
      </c>
      <c r="B69" s="162" t="s">
        <v>623</v>
      </c>
      <c r="C69" s="161" t="s">
        <v>556</v>
      </c>
      <c r="D69" s="163">
        <v>39586</v>
      </c>
      <c r="E69" s="164"/>
      <c r="F69" s="198">
        <v>1</v>
      </c>
      <c r="G69" s="305">
        <v>43.72</v>
      </c>
      <c r="H69" s="165">
        <f t="shared" si="1"/>
        <v>43.72</v>
      </c>
    </row>
    <row r="70" spans="1:8" ht="25.5">
      <c r="A70" s="238">
        <v>68</v>
      </c>
      <c r="B70" s="162" t="s">
        <v>624</v>
      </c>
      <c r="C70" s="161" t="s">
        <v>556</v>
      </c>
      <c r="D70" s="163">
        <v>252133</v>
      </c>
      <c r="E70" s="164"/>
      <c r="F70" s="198">
        <v>1</v>
      </c>
      <c r="G70" s="305">
        <v>164.22</v>
      </c>
      <c r="H70" s="165">
        <f t="shared" si="1"/>
        <v>164.22</v>
      </c>
    </row>
    <row r="71" spans="1:8" ht="25.5">
      <c r="A71" s="161">
        <v>69</v>
      </c>
      <c r="B71" s="162" t="s">
        <v>625</v>
      </c>
      <c r="C71" s="161" t="s">
        <v>556</v>
      </c>
      <c r="D71" s="163">
        <v>329304</v>
      </c>
      <c r="E71" s="164"/>
      <c r="F71" s="198">
        <v>2</v>
      </c>
      <c r="G71" s="305">
        <v>16.53</v>
      </c>
      <c r="H71" s="165">
        <f t="shared" si="1"/>
        <v>33.06</v>
      </c>
    </row>
    <row r="72" spans="1:8">
      <c r="A72" s="161">
        <v>70</v>
      </c>
      <c r="B72" s="162" t="s">
        <v>626</v>
      </c>
      <c r="C72" s="161" t="s">
        <v>556</v>
      </c>
      <c r="D72" s="163">
        <v>313744</v>
      </c>
      <c r="E72" s="164">
        <v>38377</v>
      </c>
      <c r="F72" s="198">
        <v>1</v>
      </c>
      <c r="G72" s="305">
        <v>30.15</v>
      </c>
      <c r="H72" s="165">
        <f t="shared" si="1"/>
        <v>30.15</v>
      </c>
    </row>
    <row r="73" spans="1:8" ht="25.5">
      <c r="A73" s="238">
        <v>71</v>
      </c>
      <c r="B73" s="162" t="s">
        <v>627</v>
      </c>
      <c r="C73" s="161" t="s">
        <v>556</v>
      </c>
      <c r="D73" s="163">
        <v>224108</v>
      </c>
      <c r="E73" s="164"/>
      <c r="F73" s="198">
        <v>2</v>
      </c>
      <c r="G73" s="305">
        <v>15.25</v>
      </c>
      <c r="H73" s="165">
        <f t="shared" si="1"/>
        <v>30.5</v>
      </c>
    </row>
    <row r="74" spans="1:8">
      <c r="A74" s="161">
        <v>72</v>
      </c>
      <c r="B74" s="162" t="s">
        <v>628</v>
      </c>
      <c r="C74" s="161" t="s">
        <v>556</v>
      </c>
      <c r="D74" s="163">
        <v>313933</v>
      </c>
      <c r="E74" s="164">
        <v>38379</v>
      </c>
      <c r="F74" s="198">
        <v>2</v>
      </c>
      <c r="G74" s="305">
        <v>40.340000000000003</v>
      </c>
      <c r="H74" s="165">
        <f t="shared" si="1"/>
        <v>80.680000000000007</v>
      </c>
    </row>
    <row r="75" spans="1:8" ht="38.25">
      <c r="A75" s="238">
        <v>73</v>
      </c>
      <c r="B75" s="162" t="s">
        <v>629</v>
      </c>
      <c r="C75" s="161" t="s">
        <v>556</v>
      </c>
      <c r="D75" s="163">
        <v>216752</v>
      </c>
      <c r="E75" s="164"/>
      <c r="F75" s="198">
        <v>2</v>
      </c>
      <c r="G75" s="305">
        <v>38.340000000000003</v>
      </c>
      <c r="H75" s="165">
        <f t="shared" si="1"/>
        <v>76.680000000000007</v>
      </c>
    </row>
    <row r="76" spans="1:8" ht="38.25">
      <c r="A76" s="238">
        <v>74</v>
      </c>
      <c r="B76" s="162" t="s">
        <v>630</v>
      </c>
      <c r="C76" s="161" t="s">
        <v>556</v>
      </c>
      <c r="D76" s="163">
        <v>216750</v>
      </c>
      <c r="E76" s="164"/>
      <c r="F76" s="198">
        <v>1</v>
      </c>
      <c r="G76" s="305">
        <v>43.09</v>
      </c>
      <c r="H76" s="165">
        <f t="shared" si="1"/>
        <v>43.09</v>
      </c>
    </row>
    <row r="77" spans="1:8" ht="38.25">
      <c r="A77" s="238">
        <v>75</v>
      </c>
      <c r="B77" s="162" t="s">
        <v>631</v>
      </c>
      <c r="C77" s="161" t="s">
        <v>556</v>
      </c>
      <c r="D77" s="163">
        <v>216760</v>
      </c>
      <c r="E77" s="164"/>
      <c r="F77" s="198">
        <v>1</v>
      </c>
      <c r="G77" s="305">
        <v>54.25</v>
      </c>
      <c r="H77" s="165">
        <f t="shared" si="1"/>
        <v>54.25</v>
      </c>
    </row>
    <row r="78" spans="1:8" ht="38.25">
      <c r="A78" s="161">
        <v>76</v>
      </c>
      <c r="B78" s="162" t="s">
        <v>632</v>
      </c>
      <c r="C78" s="161" t="s">
        <v>556</v>
      </c>
      <c r="D78" s="163">
        <v>271509</v>
      </c>
      <c r="E78" s="164">
        <v>38465</v>
      </c>
      <c r="F78" s="198">
        <v>2</v>
      </c>
      <c r="G78" s="305">
        <v>39.65</v>
      </c>
      <c r="H78" s="165">
        <f t="shared" si="1"/>
        <v>79.3</v>
      </c>
    </row>
    <row r="79" spans="1:8" ht="38.25">
      <c r="A79" s="238">
        <v>77</v>
      </c>
      <c r="B79" s="162" t="s">
        <v>633</v>
      </c>
      <c r="C79" s="161" t="s">
        <v>556</v>
      </c>
      <c r="D79" s="163">
        <v>249986</v>
      </c>
      <c r="E79" s="164"/>
      <c r="F79" s="198">
        <v>2</v>
      </c>
      <c r="G79" s="305">
        <v>37.659999999999997</v>
      </c>
      <c r="H79" s="165">
        <f t="shared" si="1"/>
        <v>75.319999999999993</v>
      </c>
    </row>
    <row r="80" spans="1:8" ht="25.5">
      <c r="A80" s="238">
        <v>78</v>
      </c>
      <c r="B80" s="162" t="s">
        <v>634</v>
      </c>
      <c r="C80" s="161" t="s">
        <v>556</v>
      </c>
      <c r="D80" s="163">
        <v>217910</v>
      </c>
      <c r="E80" s="164"/>
      <c r="F80" s="198">
        <v>3</v>
      </c>
      <c r="G80" s="305">
        <v>17.79</v>
      </c>
      <c r="H80" s="165">
        <f t="shared" si="1"/>
        <v>53.37</v>
      </c>
    </row>
    <row r="81" spans="1:8">
      <c r="A81" s="238">
        <v>79</v>
      </c>
      <c r="B81" s="162" t="s">
        <v>635</v>
      </c>
      <c r="C81" s="161" t="s">
        <v>602</v>
      </c>
      <c r="D81" s="163">
        <v>343168</v>
      </c>
      <c r="E81" s="164"/>
      <c r="F81" s="198">
        <v>1</v>
      </c>
      <c r="G81" s="305">
        <v>319.91000000000003</v>
      </c>
      <c r="H81" s="165">
        <f t="shared" si="1"/>
        <v>319.91000000000003</v>
      </c>
    </row>
    <row r="82" spans="1:8">
      <c r="A82" s="238">
        <v>80</v>
      </c>
      <c r="B82" s="162" t="s">
        <v>636</v>
      </c>
      <c r="C82" s="161" t="s">
        <v>556</v>
      </c>
      <c r="D82" s="163">
        <v>324763</v>
      </c>
      <c r="E82" s="164"/>
      <c r="F82" s="198">
        <v>2</v>
      </c>
      <c r="G82" s="305">
        <v>118.3</v>
      </c>
      <c r="H82" s="165">
        <f t="shared" si="1"/>
        <v>236.6</v>
      </c>
    </row>
    <row r="83" spans="1:8">
      <c r="A83" s="161">
        <v>81</v>
      </c>
      <c r="B83" s="162" t="s">
        <v>637</v>
      </c>
      <c r="C83" s="161" t="s">
        <v>556</v>
      </c>
      <c r="D83" s="163">
        <v>344996</v>
      </c>
      <c r="E83" s="164">
        <v>12</v>
      </c>
      <c r="F83" s="198">
        <v>2</v>
      </c>
      <c r="G83" s="305">
        <v>4.92</v>
      </c>
      <c r="H83" s="165">
        <f t="shared" si="1"/>
        <v>9.84</v>
      </c>
    </row>
    <row r="84" spans="1:8">
      <c r="A84" s="161">
        <v>82</v>
      </c>
      <c r="B84" s="162" t="s">
        <v>638</v>
      </c>
      <c r="C84" s="161" t="s">
        <v>556</v>
      </c>
      <c r="D84" s="163">
        <v>286755</v>
      </c>
      <c r="E84" s="164"/>
      <c r="F84" s="198">
        <v>2</v>
      </c>
      <c r="G84" s="305">
        <v>172.71</v>
      </c>
      <c r="H84" s="165">
        <f t="shared" si="1"/>
        <v>345.42</v>
      </c>
    </row>
    <row r="85" spans="1:8">
      <c r="A85" s="161">
        <v>83</v>
      </c>
      <c r="B85" s="162" t="s">
        <v>639</v>
      </c>
      <c r="C85" s="161" t="s">
        <v>556</v>
      </c>
      <c r="D85" s="163">
        <v>262706</v>
      </c>
      <c r="E85" s="164">
        <v>38382</v>
      </c>
      <c r="F85" s="198">
        <v>2</v>
      </c>
      <c r="G85" s="305">
        <v>12.51</v>
      </c>
      <c r="H85" s="165">
        <f t="shared" si="1"/>
        <v>25.02</v>
      </c>
    </row>
    <row r="86" spans="1:8">
      <c r="A86" s="161">
        <v>84</v>
      </c>
      <c r="B86" s="162" t="s">
        <v>640</v>
      </c>
      <c r="C86" s="161" t="s">
        <v>556</v>
      </c>
      <c r="D86" s="163">
        <v>266875</v>
      </c>
      <c r="E86" s="164"/>
      <c r="F86" s="198">
        <v>1</v>
      </c>
      <c r="G86" s="305">
        <v>25.64</v>
      </c>
      <c r="H86" s="165">
        <f t="shared" si="1"/>
        <v>25.64</v>
      </c>
    </row>
    <row r="87" spans="1:8" ht="51">
      <c r="A87" s="161">
        <v>85</v>
      </c>
      <c r="B87" s="162" t="s">
        <v>641</v>
      </c>
      <c r="C87" s="161" t="s">
        <v>556</v>
      </c>
      <c r="D87" s="163">
        <v>235600</v>
      </c>
      <c r="E87" s="164"/>
      <c r="F87" s="198">
        <v>1</v>
      </c>
      <c r="G87" s="305">
        <v>1090.27</v>
      </c>
      <c r="H87" s="165">
        <f t="shared" si="1"/>
        <v>1090.27</v>
      </c>
    </row>
    <row r="88" spans="1:8" ht="51">
      <c r="A88" s="161">
        <v>86</v>
      </c>
      <c r="B88" s="162" t="s">
        <v>642</v>
      </c>
      <c r="C88" s="161" t="s">
        <v>321</v>
      </c>
      <c r="D88" s="168" t="s">
        <v>643</v>
      </c>
      <c r="E88" s="164"/>
      <c r="F88" s="198">
        <v>10</v>
      </c>
      <c r="G88" s="305">
        <v>4.83</v>
      </c>
      <c r="H88" s="165">
        <f t="shared" si="1"/>
        <v>48.3</v>
      </c>
    </row>
    <row r="89" spans="1:8">
      <c r="A89" s="238">
        <v>87</v>
      </c>
      <c r="B89" s="162" t="s">
        <v>644</v>
      </c>
      <c r="C89" s="161" t="s">
        <v>556</v>
      </c>
      <c r="D89" s="163">
        <v>150911</v>
      </c>
      <c r="E89" s="164"/>
      <c r="F89" s="198">
        <v>8</v>
      </c>
      <c r="G89" s="305">
        <v>26.68</v>
      </c>
      <c r="H89" s="165">
        <f t="shared" si="1"/>
        <v>213.44</v>
      </c>
    </row>
    <row r="90" spans="1:8" ht="25.5">
      <c r="A90" s="238">
        <v>88</v>
      </c>
      <c r="B90" s="162" t="s">
        <v>645</v>
      </c>
      <c r="C90" s="161" t="s">
        <v>556</v>
      </c>
      <c r="D90" s="163">
        <v>150651</v>
      </c>
      <c r="E90" s="164"/>
      <c r="F90" s="198">
        <v>4</v>
      </c>
      <c r="G90" s="305">
        <v>46.66</v>
      </c>
      <c r="H90" s="165">
        <f t="shared" si="1"/>
        <v>186.64</v>
      </c>
    </row>
    <row r="91" spans="1:8" ht="38.25">
      <c r="A91" s="238">
        <v>89</v>
      </c>
      <c r="B91" s="162" t="s">
        <v>646</v>
      </c>
      <c r="C91" s="161" t="s">
        <v>556</v>
      </c>
      <c r="D91" s="163">
        <v>150651</v>
      </c>
      <c r="E91" s="164"/>
      <c r="F91" s="198">
        <v>4</v>
      </c>
      <c r="G91" s="305">
        <v>47.96</v>
      </c>
      <c r="H91" s="165">
        <f t="shared" si="1"/>
        <v>191.84</v>
      </c>
    </row>
    <row r="92" spans="1:8">
      <c r="A92" s="161">
        <v>90</v>
      </c>
      <c r="B92" s="162" t="s">
        <v>647</v>
      </c>
      <c r="C92" s="161" t="s">
        <v>556</v>
      </c>
      <c r="D92" s="163">
        <v>377429</v>
      </c>
      <c r="E92" s="164"/>
      <c r="F92" s="198">
        <v>2</v>
      </c>
      <c r="G92" s="305">
        <v>38.130000000000003</v>
      </c>
      <c r="H92" s="165">
        <f t="shared" si="1"/>
        <v>76.260000000000005</v>
      </c>
    </row>
    <row r="93" spans="1:8">
      <c r="A93" s="238">
        <v>91</v>
      </c>
      <c r="B93" s="162" t="s">
        <v>648</v>
      </c>
      <c r="C93" s="161" t="s">
        <v>556</v>
      </c>
      <c r="D93" s="163">
        <v>377432</v>
      </c>
      <c r="E93" s="164"/>
      <c r="F93" s="198">
        <v>2</v>
      </c>
      <c r="G93" s="305">
        <v>175.81</v>
      </c>
      <c r="H93" s="165">
        <f t="shared" si="1"/>
        <v>351.62</v>
      </c>
    </row>
    <row r="94" spans="1:8">
      <c r="A94" s="161">
        <v>92</v>
      </c>
      <c r="B94" s="162" t="s">
        <v>649</v>
      </c>
      <c r="C94" s="161" t="s">
        <v>556</v>
      </c>
      <c r="D94" s="163">
        <v>329406</v>
      </c>
      <c r="E94" s="164"/>
      <c r="F94" s="198">
        <v>2</v>
      </c>
      <c r="G94" s="305">
        <v>21.58</v>
      </c>
      <c r="H94" s="165">
        <f t="shared" si="1"/>
        <v>43.16</v>
      </c>
    </row>
    <row r="95" spans="1:8">
      <c r="A95" s="238">
        <v>93</v>
      </c>
      <c r="B95" s="162" t="s">
        <v>650</v>
      </c>
      <c r="C95" s="161" t="s">
        <v>556</v>
      </c>
      <c r="D95" s="163">
        <v>67121</v>
      </c>
      <c r="E95" s="164"/>
      <c r="F95" s="198">
        <v>2</v>
      </c>
      <c r="G95" s="305">
        <v>898.67</v>
      </c>
      <c r="H95" s="165">
        <f t="shared" si="1"/>
        <v>1797.34</v>
      </c>
    </row>
    <row r="96" spans="1:8">
      <c r="A96" s="238">
        <v>94</v>
      </c>
      <c r="B96" s="162" t="s">
        <v>651</v>
      </c>
      <c r="C96" s="161" t="s">
        <v>556</v>
      </c>
      <c r="D96" s="163">
        <v>375979</v>
      </c>
      <c r="E96" s="164"/>
      <c r="F96" s="198">
        <v>2</v>
      </c>
      <c r="G96" s="305">
        <v>35.9</v>
      </c>
      <c r="H96" s="165">
        <f t="shared" si="1"/>
        <v>71.8</v>
      </c>
    </row>
    <row r="97" spans="1:8">
      <c r="A97" s="161">
        <v>95</v>
      </c>
      <c r="B97" s="162" t="s">
        <v>652</v>
      </c>
      <c r="C97" s="161" t="s">
        <v>556</v>
      </c>
      <c r="D97" s="161">
        <v>409621</v>
      </c>
      <c r="E97" s="164"/>
      <c r="F97" s="198">
        <v>2</v>
      </c>
      <c r="G97" s="305">
        <v>25.24</v>
      </c>
      <c r="H97" s="165">
        <f t="shared" si="1"/>
        <v>50.48</v>
      </c>
    </row>
    <row r="98" spans="1:8">
      <c r="A98" s="161">
        <v>96</v>
      </c>
      <c r="B98" s="162" t="s">
        <v>653</v>
      </c>
      <c r="C98" s="161" t="s">
        <v>556</v>
      </c>
      <c r="D98" s="161">
        <v>386810</v>
      </c>
      <c r="E98" s="164"/>
      <c r="F98" s="198">
        <v>2</v>
      </c>
      <c r="G98" s="305">
        <v>48.42</v>
      </c>
      <c r="H98" s="165">
        <f t="shared" si="1"/>
        <v>96.84</v>
      </c>
    </row>
    <row r="99" spans="1:8">
      <c r="A99" s="161">
        <v>97</v>
      </c>
      <c r="B99" s="162" t="s">
        <v>654</v>
      </c>
      <c r="C99" s="161" t="s">
        <v>556</v>
      </c>
      <c r="D99" s="168">
        <v>386812</v>
      </c>
      <c r="E99" s="164"/>
      <c r="F99" s="198">
        <v>2</v>
      </c>
      <c r="G99" s="305">
        <v>61.27</v>
      </c>
      <c r="H99" s="165">
        <f t="shared" si="1"/>
        <v>122.54</v>
      </c>
    </row>
    <row r="100" spans="1:8">
      <c r="A100" s="238">
        <v>98</v>
      </c>
      <c r="B100" s="162" t="s">
        <v>655</v>
      </c>
      <c r="C100" s="161" t="s">
        <v>556</v>
      </c>
      <c r="D100" s="163">
        <v>424025</v>
      </c>
      <c r="E100" s="164"/>
      <c r="F100" s="198">
        <v>2</v>
      </c>
      <c r="G100" s="305">
        <v>160.47999999999999</v>
      </c>
      <c r="H100" s="165">
        <f t="shared" si="1"/>
        <v>320.95999999999998</v>
      </c>
    </row>
    <row r="101" spans="1:8">
      <c r="A101" s="238">
        <v>99</v>
      </c>
      <c r="B101" s="162" t="s">
        <v>656</v>
      </c>
      <c r="C101" s="161" t="s">
        <v>556</v>
      </c>
      <c r="D101" s="163">
        <v>272542</v>
      </c>
      <c r="E101" s="164"/>
      <c r="F101" s="198">
        <v>2</v>
      </c>
      <c r="G101" s="305">
        <v>422.26</v>
      </c>
      <c r="H101" s="165">
        <f t="shared" si="1"/>
        <v>844.52</v>
      </c>
    </row>
    <row r="102" spans="1:8">
      <c r="A102" s="161">
        <v>100</v>
      </c>
      <c r="B102" s="162" t="s">
        <v>657</v>
      </c>
      <c r="C102" s="161" t="s">
        <v>556</v>
      </c>
      <c r="D102" s="163">
        <v>286357</v>
      </c>
      <c r="E102" s="164">
        <v>36148</v>
      </c>
      <c r="F102" s="198">
        <v>2</v>
      </c>
      <c r="G102" s="305">
        <v>66</v>
      </c>
      <c r="H102" s="165">
        <f t="shared" si="1"/>
        <v>132</v>
      </c>
    </row>
    <row r="103" spans="1:8">
      <c r="A103" s="161">
        <v>101</v>
      </c>
      <c r="B103" s="162" t="s">
        <v>658</v>
      </c>
      <c r="C103" s="161" t="s">
        <v>556</v>
      </c>
      <c r="D103" s="163">
        <v>296200</v>
      </c>
      <c r="E103" s="164">
        <v>38369</v>
      </c>
      <c r="F103" s="198">
        <v>2</v>
      </c>
      <c r="G103" s="305">
        <v>15.01</v>
      </c>
      <c r="H103" s="165">
        <f t="shared" si="1"/>
        <v>30.02</v>
      </c>
    </row>
    <row r="104" spans="1:8">
      <c r="A104" s="161">
        <v>102</v>
      </c>
      <c r="B104" s="162" t="s">
        <v>659</v>
      </c>
      <c r="C104" s="161" t="s">
        <v>556</v>
      </c>
      <c r="D104" s="163">
        <v>448856</v>
      </c>
      <c r="E104" s="164">
        <v>38370</v>
      </c>
      <c r="F104" s="198">
        <v>2</v>
      </c>
      <c r="G104" s="305">
        <v>15.01</v>
      </c>
      <c r="H104" s="165">
        <f t="shared" si="1"/>
        <v>30.02</v>
      </c>
    </row>
    <row r="105" spans="1:8">
      <c r="A105" s="161">
        <v>103</v>
      </c>
      <c r="B105" s="162" t="s">
        <v>660</v>
      </c>
      <c r="C105" s="161" t="s">
        <v>556</v>
      </c>
      <c r="D105" s="163">
        <v>436485</v>
      </c>
      <c r="E105" s="164">
        <v>38372</v>
      </c>
      <c r="F105" s="198">
        <v>2</v>
      </c>
      <c r="G105" s="305">
        <v>21.62</v>
      </c>
      <c r="H105" s="165">
        <f t="shared" si="1"/>
        <v>43.24</v>
      </c>
    </row>
    <row r="106" spans="1:8" ht="30" customHeight="1">
      <c r="A106" s="238">
        <v>104</v>
      </c>
      <c r="B106" s="162" t="s">
        <v>661</v>
      </c>
      <c r="C106" s="161" t="s">
        <v>556</v>
      </c>
      <c r="D106" s="163">
        <v>72192</v>
      </c>
      <c r="E106" s="164"/>
      <c r="F106" s="161">
        <v>2</v>
      </c>
      <c r="G106" s="305">
        <v>280.45</v>
      </c>
      <c r="H106" s="165">
        <f t="shared" si="1"/>
        <v>560.9</v>
      </c>
    </row>
    <row r="107" spans="1:8">
      <c r="A107" s="161">
        <v>105</v>
      </c>
      <c r="B107" s="162" t="s">
        <v>662</v>
      </c>
      <c r="C107" s="161" t="s">
        <v>556</v>
      </c>
      <c r="D107" s="163">
        <v>446101</v>
      </c>
      <c r="E107" s="164"/>
      <c r="F107" s="161">
        <v>2</v>
      </c>
      <c r="G107" s="305">
        <v>4.5199999999999996</v>
      </c>
      <c r="H107" s="165">
        <f t="shared" si="1"/>
        <v>9.0399999999999991</v>
      </c>
    </row>
    <row r="108" spans="1:8">
      <c r="A108" s="623" t="s">
        <v>770</v>
      </c>
      <c r="B108" s="623"/>
      <c r="C108" s="623"/>
      <c r="D108" s="623"/>
      <c r="E108" s="623"/>
      <c r="F108" s="623"/>
      <c r="G108" s="623"/>
      <c r="H108" s="208">
        <f>SUM(H3:H107)</f>
        <v>17311.620000000003</v>
      </c>
    </row>
    <row r="109" spans="1:8">
      <c r="A109" s="622" t="s">
        <v>511</v>
      </c>
      <c r="B109" s="622"/>
      <c r="C109" s="622"/>
      <c r="D109" s="622"/>
      <c r="E109" s="622"/>
      <c r="F109" s="622"/>
      <c r="G109" s="622"/>
      <c r="H109" s="153">
        <v>12</v>
      </c>
    </row>
    <row r="110" spans="1:8">
      <c r="A110" s="622" t="s">
        <v>685</v>
      </c>
      <c r="B110" s="622"/>
      <c r="C110" s="622"/>
      <c r="D110" s="622"/>
      <c r="E110" s="622"/>
      <c r="F110" s="622"/>
      <c r="G110" s="622"/>
      <c r="H110" s="152">
        <f>H108/H109</f>
        <v>1442.6350000000002</v>
      </c>
    </row>
    <row r="111" spans="1:8">
      <c r="A111" s="622" t="s">
        <v>683</v>
      </c>
      <c r="B111" s="622"/>
      <c r="C111" s="622"/>
      <c r="D111" s="622"/>
      <c r="E111" s="622"/>
      <c r="F111" s="622"/>
      <c r="G111" s="622"/>
      <c r="H111" s="153">
        <v>3</v>
      </c>
    </row>
    <row r="112" spans="1:8">
      <c r="A112" s="621" t="s">
        <v>687</v>
      </c>
      <c r="B112" s="621"/>
      <c r="C112" s="621"/>
      <c r="D112" s="621"/>
      <c r="E112" s="621"/>
      <c r="F112" s="621"/>
      <c r="G112" s="621"/>
      <c r="H112" s="209">
        <f>H110/H111</f>
        <v>480.87833333333339</v>
      </c>
    </row>
    <row r="113" spans="1:8">
      <c r="A113" s="155"/>
      <c r="B113" s="155"/>
      <c r="C113" s="155"/>
      <c r="D113" s="155"/>
      <c r="E113" s="155"/>
      <c r="F113" s="155"/>
      <c r="G113" s="155"/>
      <c r="H113" s="169"/>
    </row>
    <row r="115" spans="1:8">
      <c r="A115" s="593" t="s">
        <v>763</v>
      </c>
      <c r="B115" s="593"/>
      <c r="C115" s="593"/>
      <c r="D115" s="593"/>
      <c r="E115" s="593"/>
      <c r="F115" s="593"/>
      <c r="G115" s="593"/>
      <c r="H115" s="593"/>
    </row>
  </sheetData>
  <sheetProtection algorithmName="SHA-512" hashValue="djChO8Ty7XZLrU7tC8Esy2toiO+NeCu/mIwHsPCMbkRV2TsLYNK7xZk9+7urB33ke38PTOSb/47u1prtr3aBWQ==" saltValue="PY0TIFT8wIHsrdSMdow9Dw==" spinCount="100000" sheet="1" selectLockedCells="1"/>
  <mergeCells count="7">
    <mergeCell ref="A115:H115"/>
    <mergeCell ref="A111:G111"/>
    <mergeCell ref="A112:G112"/>
    <mergeCell ref="A110:G110"/>
    <mergeCell ref="A1:H1"/>
    <mergeCell ref="A108:G108"/>
    <mergeCell ref="A109:G109"/>
  </mergeCells>
  <pageMargins left="0.511811024" right="0.511811024" top="0.78740157499999996" bottom="0.78740157499999996" header="0.31496062000000002" footer="0.31496062000000002"/>
  <pageSetup paperSize="9" scale="67" fitToHeight="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L22"/>
  <sheetViews>
    <sheetView zoomScaleNormal="100" workbookViewId="0">
      <selection activeCell="H8" sqref="H8"/>
    </sheetView>
  </sheetViews>
  <sheetFormatPr defaultColWidth="8.7109375" defaultRowHeight="15"/>
  <cols>
    <col min="1" max="1" width="8.7109375" style="110"/>
    <col min="2" max="2" width="48.140625" style="110" customWidth="1"/>
    <col min="3" max="7" width="8.7109375" style="110"/>
    <col min="8" max="8" width="11.85546875" style="110" bestFit="1" customWidth="1"/>
    <col min="9" max="9" width="11.85546875" style="110" customWidth="1"/>
    <col min="10" max="10" width="15.140625" style="110" customWidth="1"/>
    <col min="11" max="11" width="8.7109375" style="110"/>
    <col min="12" max="12" width="9.5703125" style="110" bestFit="1" customWidth="1"/>
    <col min="13" max="16384" width="8.7109375" style="110"/>
  </cols>
  <sheetData>
    <row r="1" spans="1:12" ht="15.6" customHeight="1">
      <c r="A1" s="627" t="s">
        <v>266</v>
      </c>
      <c r="B1" s="627"/>
      <c r="C1" s="627"/>
      <c r="D1" s="627"/>
      <c r="E1" s="627"/>
      <c r="F1" s="627"/>
      <c r="G1" s="627"/>
      <c r="H1" s="627"/>
      <c r="I1" s="627"/>
      <c r="J1" s="627"/>
    </row>
    <row r="2" spans="1:12" ht="45">
      <c r="A2" s="159" t="s">
        <v>263</v>
      </c>
      <c r="B2" s="159" t="s">
        <v>554</v>
      </c>
      <c r="C2" s="159" t="s">
        <v>262</v>
      </c>
      <c r="D2" s="160" t="s">
        <v>275</v>
      </c>
      <c r="E2" s="160" t="s">
        <v>276</v>
      </c>
      <c r="F2" s="219" t="s">
        <v>308</v>
      </c>
      <c r="G2" s="219" t="s">
        <v>678</v>
      </c>
      <c r="H2" s="160" t="s">
        <v>307</v>
      </c>
      <c r="I2" s="219" t="s">
        <v>788</v>
      </c>
      <c r="J2" s="160" t="s">
        <v>836</v>
      </c>
    </row>
    <row r="3" spans="1:12" ht="51">
      <c r="A3" s="253">
        <v>1</v>
      </c>
      <c r="B3" s="171" t="s">
        <v>663</v>
      </c>
      <c r="C3" s="172" t="s">
        <v>262</v>
      </c>
      <c r="D3" s="173">
        <v>255344</v>
      </c>
      <c r="E3" s="174"/>
      <c r="F3" s="175">
        <v>30</v>
      </c>
      <c r="G3" s="201">
        <v>1</v>
      </c>
      <c r="H3" s="304">
        <v>905.33</v>
      </c>
      <c r="I3" s="176">
        <f>ROUND(H3*G3,2)</f>
        <v>905.33</v>
      </c>
      <c r="J3" s="177">
        <f>ROUND(I3/F3,2)</f>
        <v>30.18</v>
      </c>
      <c r="L3" s="129"/>
    </row>
    <row r="4" spans="1:12" ht="38.25">
      <c r="A4" s="254">
        <v>2</v>
      </c>
      <c r="B4" s="162" t="s">
        <v>664</v>
      </c>
      <c r="C4" s="145" t="s">
        <v>262</v>
      </c>
      <c r="D4" s="163">
        <v>259534</v>
      </c>
      <c r="E4" s="164"/>
      <c r="F4" s="179">
        <v>30</v>
      </c>
      <c r="G4" s="198">
        <v>2</v>
      </c>
      <c r="H4" s="305">
        <v>479.63</v>
      </c>
      <c r="I4" s="176">
        <f>ROUND(H4*G4,2)</f>
        <v>959.26</v>
      </c>
      <c r="J4" s="177">
        <f>ROUND(I4/F4,2)</f>
        <v>31.98</v>
      </c>
    </row>
    <row r="5" spans="1:12" ht="76.5">
      <c r="A5" s="170">
        <v>3</v>
      </c>
      <c r="B5" s="162" t="s">
        <v>665</v>
      </c>
      <c r="C5" s="145" t="s">
        <v>262</v>
      </c>
      <c r="D5" s="163">
        <v>32166</v>
      </c>
      <c r="E5" s="164">
        <v>38413</v>
      </c>
      <c r="F5" s="179">
        <v>30</v>
      </c>
      <c r="G5" s="198">
        <v>2</v>
      </c>
      <c r="H5" s="305">
        <v>780.92</v>
      </c>
      <c r="I5" s="176">
        <f t="shared" ref="I5:I16" si="0">ROUND(H5*G5,2)</f>
        <v>1561.84</v>
      </c>
      <c r="J5" s="177">
        <f t="shared" ref="J5:J16" si="1">ROUND(I5/F5,2)</f>
        <v>52.06</v>
      </c>
    </row>
    <row r="6" spans="1:12" ht="25.5">
      <c r="A6" s="254">
        <v>4</v>
      </c>
      <c r="B6" s="162" t="s">
        <v>666</v>
      </c>
      <c r="C6" s="145" t="s">
        <v>262</v>
      </c>
      <c r="D6" s="163">
        <v>8869</v>
      </c>
      <c r="E6" s="164"/>
      <c r="F6" s="179">
        <v>30</v>
      </c>
      <c r="G6" s="198">
        <v>2</v>
      </c>
      <c r="H6" s="305">
        <v>47.1</v>
      </c>
      <c r="I6" s="176">
        <f t="shared" si="0"/>
        <v>94.2</v>
      </c>
      <c r="J6" s="177">
        <f t="shared" si="1"/>
        <v>3.14</v>
      </c>
    </row>
    <row r="7" spans="1:12" ht="38.25">
      <c r="A7" s="253">
        <v>5</v>
      </c>
      <c r="B7" s="162" t="s">
        <v>667</v>
      </c>
      <c r="C7" s="145" t="s">
        <v>262</v>
      </c>
      <c r="D7" s="163">
        <v>235153</v>
      </c>
      <c r="E7" s="164"/>
      <c r="F7" s="179">
        <v>30</v>
      </c>
      <c r="G7" s="198">
        <v>2</v>
      </c>
      <c r="H7" s="305">
        <v>183.8</v>
      </c>
      <c r="I7" s="176">
        <f t="shared" si="0"/>
        <v>367.6</v>
      </c>
      <c r="J7" s="177">
        <f t="shared" si="1"/>
        <v>12.25</v>
      </c>
    </row>
    <row r="8" spans="1:12" ht="38.25">
      <c r="A8" s="254">
        <v>6</v>
      </c>
      <c r="B8" s="162" t="s">
        <v>668</v>
      </c>
      <c r="C8" s="145" t="s">
        <v>262</v>
      </c>
      <c r="D8" s="163">
        <v>378826</v>
      </c>
      <c r="E8" s="164"/>
      <c r="F8" s="179">
        <v>30</v>
      </c>
      <c r="G8" s="198">
        <v>2</v>
      </c>
      <c r="H8" s="305">
        <v>45.13</v>
      </c>
      <c r="I8" s="176">
        <f t="shared" si="0"/>
        <v>90.26</v>
      </c>
      <c r="J8" s="177">
        <f t="shared" si="1"/>
        <v>3.01</v>
      </c>
    </row>
    <row r="9" spans="1:12" ht="63.75">
      <c r="A9" s="253">
        <v>7</v>
      </c>
      <c r="B9" s="162" t="s">
        <v>669</v>
      </c>
      <c r="C9" s="145" t="s">
        <v>262</v>
      </c>
      <c r="D9" s="163">
        <v>220735</v>
      </c>
      <c r="E9" s="164"/>
      <c r="F9" s="179">
        <v>30</v>
      </c>
      <c r="G9" s="198">
        <v>1</v>
      </c>
      <c r="H9" s="305">
        <v>3017.58</v>
      </c>
      <c r="I9" s="176">
        <f t="shared" si="0"/>
        <v>3017.58</v>
      </c>
      <c r="J9" s="177">
        <f t="shared" si="1"/>
        <v>100.59</v>
      </c>
    </row>
    <row r="10" spans="1:12" ht="51">
      <c r="A10" s="254">
        <v>8</v>
      </c>
      <c r="B10" s="162" t="s">
        <v>670</v>
      </c>
      <c r="C10" s="145" t="s">
        <v>262</v>
      </c>
      <c r="D10" s="163">
        <v>259323</v>
      </c>
      <c r="E10" s="164"/>
      <c r="F10" s="179">
        <v>30</v>
      </c>
      <c r="G10" s="198">
        <v>2</v>
      </c>
      <c r="H10" s="305">
        <v>366.17</v>
      </c>
      <c r="I10" s="176">
        <f t="shared" si="0"/>
        <v>732.34</v>
      </c>
      <c r="J10" s="177">
        <f t="shared" si="1"/>
        <v>24.41</v>
      </c>
    </row>
    <row r="11" spans="1:12" ht="51">
      <c r="A11" s="253">
        <v>9</v>
      </c>
      <c r="B11" s="162" t="s">
        <v>671</v>
      </c>
      <c r="C11" s="145" t="s">
        <v>262</v>
      </c>
      <c r="D11" s="163">
        <v>258260</v>
      </c>
      <c r="E11" s="164"/>
      <c r="F11" s="179">
        <v>30</v>
      </c>
      <c r="G11" s="198">
        <v>2</v>
      </c>
      <c r="H11" s="305">
        <v>935.47</v>
      </c>
      <c r="I11" s="176">
        <f t="shared" si="0"/>
        <v>1870.94</v>
      </c>
      <c r="J11" s="177">
        <f t="shared" si="1"/>
        <v>62.36</v>
      </c>
    </row>
    <row r="12" spans="1:12">
      <c r="A12" s="178">
        <v>10</v>
      </c>
      <c r="B12" s="180" t="s">
        <v>672</v>
      </c>
      <c r="C12" s="178" t="s">
        <v>262</v>
      </c>
      <c r="D12" s="163">
        <v>91057</v>
      </c>
      <c r="E12" s="164"/>
      <c r="F12" s="179">
        <v>60</v>
      </c>
      <c r="G12" s="202">
        <v>2</v>
      </c>
      <c r="H12" s="305">
        <v>432.18</v>
      </c>
      <c r="I12" s="176">
        <f t="shared" si="0"/>
        <v>864.36</v>
      </c>
      <c r="J12" s="177">
        <f>ROUND(I12/F12,2)</f>
        <v>14.41</v>
      </c>
    </row>
    <row r="13" spans="1:12">
      <c r="A13" s="253">
        <v>11</v>
      </c>
      <c r="B13" s="180" t="s">
        <v>673</v>
      </c>
      <c r="C13" s="178" t="s">
        <v>262</v>
      </c>
      <c r="D13" s="163">
        <v>245530</v>
      </c>
      <c r="E13" s="164"/>
      <c r="F13" s="164">
        <v>60</v>
      </c>
      <c r="G13" s="178">
        <v>2</v>
      </c>
      <c r="H13" s="305">
        <v>24.14</v>
      </c>
      <c r="I13" s="176">
        <f t="shared" si="0"/>
        <v>48.28</v>
      </c>
      <c r="J13" s="177">
        <f>ROUND(I13/F13,2)</f>
        <v>0.8</v>
      </c>
    </row>
    <row r="14" spans="1:12">
      <c r="A14" s="254">
        <v>12</v>
      </c>
      <c r="B14" s="180" t="s">
        <v>674</v>
      </c>
      <c r="C14" s="178" t="s">
        <v>264</v>
      </c>
      <c r="D14" s="163">
        <v>150149</v>
      </c>
      <c r="E14" s="164"/>
      <c r="F14" s="164">
        <v>60</v>
      </c>
      <c r="G14" s="178">
        <v>1</v>
      </c>
      <c r="H14" s="305">
        <v>1472.77</v>
      </c>
      <c r="I14" s="176">
        <f t="shared" si="0"/>
        <v>1472.77</v>
      </c>
      <c r="J14" s="177">
        <f t="shared" si="1"/>
        <v>24.55</v>
      </c>
    </row>
    <row r="15" spans="1:12">
      <c r="A15" s="170">
        <v>13</v>
      </c>
      <c r="B15" s="180" t="s">
        <v>675</v>
      </c>
      <c r="C15" s="178" t="s">
        <v>262</v>
      </c>
      <c r="D15" s="163">
        <v>450972</v>
      </c>
      <c r="E15" s="164"/>
      <c r="F15" s="164">
        <v>60</v>
      </c>
      <c r="G15" s="178">
        <v>1</v>
      </c>
      <c r="H15" s="305">
        <v>331.39</v>
      </c>
      <c r="I15" s="176">
        <f t="shared" si="0"/>
        <v>331.39</v>
      </c>
      <c r="J15" s="177">
        <f t="shared" si="1"/>
        <v>5.52</v>
      </c>
    </row>
    <row r="16" spans="1:12" ht="26.25">
      <c r="A16" s="254">
        <v>14</v>
      </c>
      <c r="B16" s="181" t="s">
        <v>676</v>
      </c>
      <c r="C16" s="178" t="s">
        <v>264</v>
      </c>
      <c r="D16" s="168" t="s">
        <v>677</v>
      </c>
      <c r="E16" s="164"/>
      <c r="F16" s="164">
        <v>60</v>
      </c>
      <c r="G16" s="178">
        <v>1</v>
      </c>
      <c r="H16" s="305">
        <v>3374.69</v>
      </c>
      <c r="I16" s="176">
        <f t="shared" si="0"/>
        <v>3374.69</v>
      </c>
      <c r="J16" s="177">
        <f t="shared" si="1"/>
        <v>56.24</v>
      </c>
    </row>
    <row r="17" spans="1:10" ht="14.45" customHeight="1">
      <c r="A17" s="623" t="s">
        <v>837</v>
      </c>
      <c r="B17" s="623"/>
      <c r="C17" s="623"/>
      <c r="D17" s="623"/>
      <c r="E17" s="623"/>
      <c r="F17" s="623"/>
      <c r="G17" s="623"/>
      <c r="H17" s="623"/>
      <c r="I17" s="623"/>
      <c r="J17" s="208">
        <f>SUM(J3:J16)</f>
        <v>421.50000000000006</v>
      </c>
    </row>
    <row r="18" spans="1:10" ht="14.45" customHeight="1">
      <c r="A18" s="628" t="s">
        <v>683</v>
      </c>
      <c r="B18" s="628"/>
      <c r="C18" s="628"/>
      <c r="D18" s="628"/>
      <c r="E18" s="628"/>
      <c r="F18" s="628"/>
      <c r="G18" s="628"/>
      <c r="H18" s="628"/>
      <c r="I18" s="628"/>
      <c r="J18" s="153">
        <v>3</v>
      </c>
    </row>
    <row r="19" spans="1:10" ht="14.45" customHeight="1">
      <c r="A19" s="625" t="s">
        <v>838</v>
      </c>
      <c r="B19" s="626"/>
      <c r="C19" s="626"/>
      <c r="D19" s="626"/>
      <c r="E19" s="626"/>
      <c r="F19" s="626"/>
      <c r="G19" s="626"/>
      <c r="H19" s="626"/>
      <c r="I19" s="626"/>
      <c r="J19" s="209">
        <f>ROUND(J17/J18,2)</f>
        <v>140.5</v>
      </c>
    </row>
    <row r="20" spans="1:10">
      <c r="A20" s="182"/>
      <c r="B20" s="182"/>
      <c r="C20" s="182"/>
      <c r="D20" s="182"/>
      <c r="E20" s="182"/>
      <c r="F20" s="182"/>
      <c r="G20" s="182"/>
      <c r="H20" s="183"/>
      <c r="I20" s="183"/>
    </row>
    <row r="21" spans="1:10">
      <c r="A21" s="182"/>
      <c r="B21" s="182"/>
      <c r="C21" s="182"/>
      <c r="D21" s="182"/>
      <c r="E21" s="182"/>
      <c r="F21" s="182"/>
      <c r="G21" s="182"/>
      <c r="H21" s="183"/>
      <c r="I21" s="183"/>
    </row>
    <row r="22" spans="1:10">
      <c r="A22" s="593" t="s">
        <v>763</v>
      </c>
      <c r="B22" s="593"/>
      <c r="C22" s="593"/>
      <c r="D22" s="593"/>
      <c r="E22" s="593"/>
      <c r="F22" s="593"/>
      <c r="G22" s="593"/>
      <c r="H22" s="593"/>
      <c r="I22" s="593"/>
      <c r="J22" s="593"/>
    </row>
  </sheetData>
  <sheetProtection algorithmName="SHA-512" hashValue="Yv1NQkUYjZc/nM266V4qJTZ8reGGhZaoUTuRPSMK23w0HcI1euH1PXUWxh4o+sLO7bN92NOEF3+3ID5F7/wcZA==" saltValue="VJFvW06NoDh9PiT0I5IlWQ==" spinCount="100000" sheet="1" selectLockedCells="1"/>
  <mergeCells count="5">
    <mergeCell ref="A19:I19"/>
    <mergeCell ref="A22:J22"/>
    <mergeCell ref="A1:J1"/>
    <mergeCell ref="A17:I17"/>
    <mergeCell ref="A18:I18"/>
  </mergeCells>
  <pageMargins left="0.511811024" right="0.511811024" top="0.78740157499999996" bottom="0.78740157499999996" header="0.31496062000000002" footer="0.31496062000000002"/>
  <pageSetup paperSize="9" scale="66" fitToHeight="0" orientation="portrait" horizontalDpi="300" verticalDpi="300" r:id="rId1"/>
</worksheet>
</file>

<file path=xl/worksheets/sheet12.xml><?xml version="1.0" encoding="utf-8"?>
<worksheet xmlns="http://schemas.openxmlformats.org/spreadsheetml/2006/main" xmlns:r="http://schemas.openxmlformats.org/officeDocument/2006/relationships">
  <sheetPr>
    <pageSetUpPr fitToPage="1"/>
  </sheetPr>
  <dimension ref="A1:O14"/>
  <sheetViews>
    <sheetView zoomScale="115" zoomScaleNormal="115" workbookViewId="0">
      <selection activeCell="G3" sqref="G3"/>
    </sheetView>
  </sheetViews>
  <sheetFormatPr defaultColWidth="16.42578125" defaultRowHeight="12"/>
  <cols>
    <col min="1" max="1" width="7.85546875" style="241" customWidth="1"/>
    <col min="2" max="2" width="27.42578125" style="251" bestFit="1" customWidth="1"/>
    <col min="3" max="3" width="31.42578125" style="239" customWidth="1"/>
    <col min="4" max="7" width="11" style="239" customWidth="1"/>
    <col min="8" max="8" width="15.5703125" style="239" customWidth="1"/>
    <col min="9" max="9" width="16.42578125" style="239" customWidth="1"/>
    <col min="10" max="11" width="16.42578125" style="239"/>
    <col min="12" max="15" width="16.42578125" style="240"/>
    <col min="16" max="16384" width="16.42578125" style="241"/>
  </cols>
  <sheetData>
    <row r="1" spans="1:9">
      <c r="A1" s="630" t="s">
        <v>743</v>
      </c>
      <c r="B1" s="630"/>
      <c r="C1" s="630"/>
      <c r="D1" s="630"/>
      <c r="E1" s="630"/>
      <c r="F1" s="630"/>
      <c r="G1" s="630"/>
      <c r="H1" s="630"/>
      <c r="I1" s="630"/>
    </row>
    <row r="2" spans="1:9" ht="48">
      <c r="A2" s="242" t="s">
        <v>711</v>
      </c>
      <c r="B2" s="242" t="s">
        <v>729</v>
      </c>
      <c r="C2" s="242" t="s">
        <v>733</v>
      </c>
      <c r="D2" s="242" t="s">
        <v>714</v>
      </c>
      <c r="E2" s="243" t="s">
        <v>828</v>
      </c>
      <c r="F2" s="243" t="s">
        <v>831</v>
      </c>
      <c r="G2" s="243" t="s">
        <v>734</v>
      </c>
      <c r="H2" s="243" t="s">
        <v>832</v>
      </c>
      <c r="I2" s="243" t="s">
        <v>735</v>
      </c>
    </row>
    <row r="3" spans="1:9">
      <c r="A3" s="244">
        <v>1</v>
      </c>
      <c r="B3" s="244" t="s">
        <v>736</v>
      </c>
      <c r="C3" s="244" t="s">
        <v>716</v>
      </c>
      <c r="D3" s="244" t="s">
        <v>691</v>
      </c>
      <c r="E3" s="245">
        <v>4592</v>
      </c>
      <c r="F3" s="245">
        <f>E3/8</f>
        <v>574</v>
      </c>
      <c r="G3" s="330">
        <f>[3]Composição!$F$5</f>
        <v>26.888021000000002</v>
      </c>
      <c r="H3" s="342">
        <f>G3*8</f>
        <v>215.10416800000002</v>
      </c>
      <c r="I3" s="342">
        <f>ROUND(E3*G3,2)</f>
        <v>123469.79</v>
      </c>
    </row>
    <row r="4" spans="1:9">
      <c r="A4" s="244">
        <v>2</v>
      </c>
      <c r="B4" s="244" t="s">
        <v>730</v>
      </c>
      <c r="C4" s="244" t="s">
        <v>721</v>
      </c>
      <c r="D4" s="244" t="s">
        <v>737</v>
      </c>
      <c r="E4" s="245">
        <v>208</v>
      </c>
      <c r="F4" s="245">
        <f t="shared" ref="F4:F7" si="0">E4/8</f>
        <v>26</v>
      </c>
      <c r="G4" s="252">
        <f>[3]Composição!$F$20</f>
        <v>35.368794000000001</v>
      </c>
      <c r="H4" s="342">
        <f t="shared" ref="H4:H7" si="1">G4*8</f>
        <v>282.95035200000001</v>
      </c>
      <c r="I4" s="342">
        <f t="shared" ref="I4:I7" si="2">ROUND(E4*G4,2)</f>
        <v>7356.71</v>
      </c>
    </row>
    <row r="5" spans="1:9">
      <c r="A5" s="244">
        <v>3</v>
      </c>
      <c r="B5" s="244" t="s">
        <v>738</v>
      </c>
      <c r="C5" s="244" t="s">
        <v>717</v>
      </c>
      <c r="D5" s="244" t="s">
        <v>739</v>
      </c>
      <c r="E5" s="245">
        <v>240</v>
      </c>
      <c r="F5" s="245">
        <f t="shared" si="0"/>
        <v>30</v>
      </c>
      <c r="G5" s="252">
        <f>[3]Composição!$F$10</f>
        <v>147.98083499999998</v>
      </c>
      <c r="H5" s="342">
        <f t="shared" si="1"/>
        <v>1183.8466799999999</v>
      </c>
      <c r="I5" s="342">
        <f t="shared" si="2"/>
        <v>35515.4</v>
      </c>
    </row>
    <row r="6" spans="1:9" ht="24">
      <c r="A6" s="244">
        <v>4</v>
      </c>
      <c r="B6" s="244" t="s">
        <v>722</v>
      </c>
      <c r="C6" s="247" t="s">
        <v>723</v>
      </c>
      <c r="D6" s="244" t="s">
        <v>740</v>
      </c>
      <c r="E6" s="245">
        <v>1584</v>
      </c>
      <c r="F6" s="245">
        <f t="shared" si="0"/>
        <v>198</v>
      </c>
      <c r="G6" s="252">
        <f>[3]Composição!$F$18</f>
        <v>28.476257</v>
      </c>
      <c r="H6" s="342">
        <f t="shared" si="1"/>
        <v>227.810056</v>
      </c>
      <c r="I6" s="342">
        <f t="shared" si="2"/>
        <v>45106.39</v>
      </c>
    </row>
    <row r="7" spans="1:9">
      <c r="A7" s="244">
        <v>5</v>
      </c>
      <c r="B7" s="244" t="s">
        <v>727</v>
      </c>
      <c r="C7" s="244" t="s">
        <v>728</v>
      </c>
      <c r="D7" s="244" t="s">
        <v>741</v>
      </c>
      <c r="E7" s="245">
        <v>184</v>
      </c>
      <c r="F7" s="245">
        <f t="shared" si="0"/>
        <v>23</v>
      </c>
      <c r="G7" s="252">
        <f>[3]Composição!$F$19</f>
        <v>25.096164999999999</v>
      </c>
      <c r="H7" s="342">
        <f t="shared" si="1"/>
        <v>200.76931999999999</v>
      </c>
      <c r="I7" s="342">
        <f t="shared" si="2"/>
        <v>4617.6899999999996</v>
      </c>
    </row>
    <row r="8" spans="1:9" ht="15" customHeight="1">
      <c r="A8" s="632" t="s">
        <v>751</v>
      </c>
      <c r="B8" s="633"/>
      <c r="C8" s="633"/>
      <c r="D8" s="633"/>
      <c r="E8" s="633"/>
      <c r="F8" s="633"/>
      <c r="G8" s="634"/>
      <c r="H8" s="341"/>
      <c r="I8" s="248">
        <f>SUM(I3:I7)</f>
        <v>216065.97999999998</v>
      </c>
    </row>
    <row r="9" spans="1:9">
      <c r="A9" s="635" t="s">
        <v>752</v>
      </c>
      <c r="B9" s="635"/>
      <c r="C9" s="635"/>
      <c r="D9" s="635"/>
      <c r="E9" s="635"/>
      <c r="F9" s="255"/>
      <c r="G9" s="249">
        <f>'2.2, 3.2 e 6.3'!C10</f>
        <v>0.2669141020689656</v>
      </c>
      <c r="H9" s="249"/>
      <c r="I9" s="246">
        <f>ROUND(I8*G9,2)</f>
        <v>57671.06</v>
      </c>
    </row>
    <row r="10" spans="1:9">
      <c r="A10" s="631" t="s">
        <v>742</v>
      </c>
      <c r="B10" s="631"/>
      <c r="C10" s="631"/>
      <c r="D10" s="631"/>
      <c r="E10" s="631"/>
      <c r="F10" s="631"/>
      <c r="G10" s="631"/>
      <c r="H10" s="340"/>
      <c r="I10" s="250">
        <f>I8+I9</f>
        <v>273737.03999999998</v>
      </c>
    </row>
    <row r="13" spans="1:9">
      <c r="A13" s="629" t="s">
        <v>762</v>
      </c>
      <c r="B13" s="629"/>
      <c r="C13" s="629"/>
      <c r="D13" s="629"/>
      <c r="E13" s="629"/>
      <c r="F13" s="629"/>
      <c r="G13" s="629"/>
      <c r="H13" s="629"/>
      <c r="I13" s="629"/>
    </row>
    <row r="14" spans="1:9">
      <c r="A14" s="629" t="s">
        <v>817</v>
      </c>
      <c r="B14" s="629"/>
      <c r="C14" s="629"/>
      <c r="D14" s="629"/>
      <c r="E14" s="629"/>
      <c r="F14" s="629"/>
      <c r="G14" s="629"/>
      <c r="H14" s="629"/>
      <c r="I14" s="629"/>
    </row>
  </sheetData>
  <sheetProtection algorithmName="SHA-512" hashValue="GHCtDAW2vGwRdc8A7+yp47uMZsFP7Kt2iFwSOvVSpOuu02Aba3iTK3CWWN3PdbS+qlXswdhVq/JZHUlt6cr5pw==" saltValue="luIWZPwYgvvAzwBQmumeZw==" spinCount="100000" sheet="1" selectLockedCells="1"/>
  <mergeCells count="6">
    <mergeCell ref="A13:I13"/>
    <mergeCell ref="A14:I14"/>
    <mergeCell ref="A1:I1"/>
    <mergeCell ref="A10:G10"/>
    <mergeCell ref="A8:G8"/>
    <mergeCell ref="A9:E9"/>
  </mergeCells>
  <pageMargins left="0.511811024" right="0.511811024" top="0.78740157499999996" bottom="0.78740157499999996" header="0.31496062000000002" footer="0.31496062000000002"/>
  <pageSetup paperSize="9" scale="64" fitToHeight="0" orientation="portrait" r:id="rId1"/>
</worksheet>
</file>

<file path=xl/worksheets/sheet13.xml><?xml version="1.0" encoding="utf-8"?>
<worksheet xmlns="http://schemas.openxmlformats.org/spreadsheetml/2006/main" xmlns:r="http://schemas.openxmlformats.org/officeDocument/2006/relationships">
  <sheetPr>
    <pageSetUpPr fitToPage="1"/>
  </sheetPr>
  <dimension ref="A1:C15"/>
  <sheetViews>
    <sheetView workbookViewId="0">
      <selection activeCell="C2" sqref="C2"/>
    </sheetView>
  </sheetViews>
  <sheetFormatPr defaultColWidth="9.140625" defaultRowHeight="15"/>
  <cols>
    <col min="1" max="1" width="9.140625" style="110"/>
    <col min="2" max="2" width="48.85546875" style="110" customWidth="1"/>
    <col min="3" max="3" width="18.5703125" style="110" customWidth="1"/>
    <col min="4" max="16384" width="9.140625" style="110"/>
  </cols>
  <sheetData>
    <row r="1" spans="1:3">
      <c r="A1" s="636" t="s">
        <v>760</v>
      </c>
      <c r="B1" s="636"/>
      <c r="C1" s="636"/>
    </row>
    <row r="2" spans="1:3">
      <c r="A2" s="204" t="s">
        <v>1</v>
      </c>
      <c r="B2" s="112" t="s">
        <v>753</v>
      </c>
      <c r="C2" s="302">
        <v>0.04</v>
      </c>
    </row>
    <row r="3" spans="1:3">
      <c r="A3" s="204" t="s">
        <v>3</v>
      </c>
      <c r="B3" s="112" t="s">
        <v>754</v>
      </c>
      <c r="C3" s="302">
        <v>8.0000000000000002E-3</v>
      </c>
    </row>
    <row r="4" spans="1:3">
      <c r="A4" s="204" t="s">
        <v>5</v>
      </c>
      <c r="B4" s="112" t="s">
        <v>755</v>
      </c>
      <c r="C4" s="302">
        <v>1.8800000000000001E-2</v>
      </c>
    </row>
    <row r="5" spans="1:3">
      <c r="A5" s="204" t="s">
        <v>6</v>
      </c>
      <c r="B5" s="112" t="s">
        <v>756</v>
      </c>
      <c r="C5" s="302">
        <v>9.7000000000000003E-3</v>
      </c>
    </row>
    <row r="6" spans="1:3">
      <c r="A6" s="204" t="s">
        <v>8</v>
      </c>
      <c r="B6" s="112" t="s">
        <v>757</v>
      </c>
      <c r="C6" s="302">
        <v>7.3999999999999996E-2</v>
      </c>
    </row>
    <row r="7" spans="1:3">
      <c r="A7" s="204" t="s">
        <v>10</v>
      </c>
      <c r="B7" s="112" t="s">
        <v>758</v>
      </c>
      <c r="C7" s="302">
        <v>0.05</v>
      </c>
    </row>
    <row r="8" spans="1:3">
      <c r="A8" s="204" t="s">
        <v>11</v>
      </c>
      <c r="B8" s="112" t="s">
        <v>60</v>
      </c>
      <c r="C8" s="302">
        <v>6.4999999999999997E-3</v>
      </c>
    </row>
    <row r="9" spans="1:3">
      <c r="A9" s="204" t="s">
        <v>12</v>
      </c>
      <c r="B9" s="112" t="s">
        <v>61</v>
      </c>
      <c r="C9" s="302">
        <v>0.03</v>
      </c>
    </row>
    <row r="10" spans="1:3">
      <c r="A10" s="637" t="s">
        <v>759</v>
      </c>
      <c r="B10" s="637"/>
      <c r="C10" s="205">
        <f>((1+C2+C3+C5)*(1+C4)*(1+C6)/(1-(C7+C8+C9))-1)</f>
        <v>0.2669141020689656</v>
      </c>
    </row>
    <row r="11" spans="1:3">
      <c r="A11" s="206"/>
      <c r="B11" s="206"/>
      <c r="C11" s="207"/>
    </row>
    <row r="12" spans="1:3">
      <c r="A12" s="218" t="s">
        <v>765</v>
      </c>
      <c r="B12" s="206"/>
      <c r="C12" s="207"/>
    </row>
    <row r="13" spans="1:3">
      <c r="A13" s="206"/>
      <c r="B13" s="206"/>
      <c r="C13" s="207"/>
    </row>
    <row r="15" spans="1:3">
      <c r="A15" s="593" t="s">
        <v>761</v>
      </c>
      <c r="B15" s="593"/>
      <c r="C15" s="593"/>
    </row>
  </sheetData>
  <sheetProtection algorithmName="SHA-512" hashValue="brjg3bsuOTQrSPBbuhsMWtPqGAnc7LsZrL91WHDRyYvCWq0D7W1qoylWudaTyR3sIaHV4d593wMbRfXoDiDuJg==" saltValue="x0wel4cedvsLULHbDXEyzg==" spinCount="100000" sheet="1" objects="1" scenarios="1" selectLockedCells="1"/>
  <mergeCells count="3">
    <mergeCell ref="A1:C1"/>
    <mergeCell ref="A10:B10"/>
    <mergeCell ref="A15:C15"/>
  </mergeCells>
  <printOptions horizontalCentered="1"/>
  <pageMargins left="0.51181102362204722" right="0.51181102362204722" top="0.78740157480314965" bottom="0.78740157480314965" header="0.31496062992125984" footer="0.31496062992125984"/>
  <pageSetup paperSize="9" fitToHeight="0" orientation="portrait" r:id="rId1"/>
</worksheet>
</file>

<file path=xl/worksheets/sheet14.xml><?xml version="1.0" encoding="utf-8"?>
<worksheet xmlns="http://schemas.openxmlformats.org/spreadsheetml/2006/main" xmlns:r="http://schemas.openxmlformats.org/officeDocument/2006/relationships">
  <sheetPr>
    <pageSetUpPr fitToPage="1"/>
  </sheetPr>
  <dimension ref="A1:J186"/>
  <sheetViews>
    <sheetView zoomScaleNormal="100" workbookViewId="0">
      <selection activeCell="G5" sqref="G5"/>
    </sheetView>
  </sheetViews>
  <sheetFormatPr defaultColWidth="8.7109375" defaultRowHeight="15"/>
  <cols>
    <col min="1" max="1" width="5.140625" style="110" bestFit="1" customWidth="1"/>
    <col min="2" max="2" width="79" style="110" customWidth="1"/>
    <col min="3" max="3" width="14.7109375" style="110" customWidth="1"/>
    <col min="4" max="4" width="10.7109375" style="110" customWidth="1"/>
    <col min="5" max="5" width="12.85546875" style="110" customWidth="1"/>
    <col min="6" max="6" width="13.85546875" style="110" customWidth="1"/>
    <col min="7" max="7" width="14" style="195" customWidth="1"/>
    <col min="8" max="8" width="15.7109375" style="195" customWidth="1"/>
    <col min="9" max="9" width="8.7109375" style="110"/>
    <col min="10" max="10" width="10.28515625" style="110" customWidth="1"/>
    <col min="11" max="16384" width="8.7109375" style="110"/>
  </cols>
  <sheetData>
    <row r="1" spans="1:8" ht="15.75">
      <c r="A1" s="638" t="s">
        <v>700</v>
      </c>
      <c r="B1" s="638"/>
      <c r="C1" s="638"/>
      <c r="D1" s="638"/>
      <c r="E1" s="638"/>
      <c r="F1" s="638"/>
      <c r="G1" s="638"/>
      <c r="H1" s="638"/>
    </row>
    <row r="2" spans="1:8">
      <c r="A2" s="599" t="s">
        <v>263</v>
      </c>
      <c r="B2" s="599" t="s">
        <v>314</v>
      </c>
      <c r="C2" s="599" t="s">
        <v>275</v>
      </c>
      <c r="D2" s="599" t="s">
        <v>276</v>
      </c>
      <c r="E2" s="599" t="s">
        <v>262</v>
      </c>
      <c r="F2" s="602" t="s">
        <v>277</v>
      </c>
      <c r="G2" s="595" t="s">
        <v>509</v>
      </c>
      <c r="H2" s="595" t="s">
        <v>510</v>
      </c>
    </row>
    <row r="3" spans="1:8">
      <c r="A3" s="600"/>
      <c r="B3" s="600"/>
      <c r="C3" s="600"/>
      <c r="D3" s="600"/>
      <c r="E3" s="600"/>
      <c r="F3" s="603"/>
      <c r="G3" s="596"/>
      <c r="H3" s="596"/>
    </row>
    <row r="4" spans="1:8">
      <c r="A4" s="601"/>
      <c r="B4" s="601"/>
      <c r="C4" s="601"/>
      <c r="D4" s="601"/>
      <c r="E4" s="601"/>
      <c r="F4" s="604"/>
      <c r="G4" s="597"/>
      <c r="H4" s="597"/>
    </row>
    <row r="5" spans="1:8">
      <c r="A5" s="203">
        <v>1</v>
      </c>
      <c r="B5" s="125" t="s">
        <v>315</v>
      </c>
      <c r="C5" s="126">
        <v>441136</v>
      </c>
      <c r="D5" s="137"/>
      <c r="E5" s="126" t="s">
        <v>262</v>
      </c>
      <c r="F5" s="203">
        <v>500</v>
      </c>
      <c r="G5" s="303">
        <v>14.38</v>
      </c>
      <c r="H5" s="113">
        <f>ROUND(F5*G5,2)</f>
        <v>7190</v>
      </c>
    </row>
    <row r="6" spans="1:8">
      <c r="A6" s="203">
        <v>2</v>
      </c>
      <c r="B6" s="125" t="s">
        <v>316</v>
      </c>
      <c r="C6" s="126">
        <v>438067</v>
      </c>
      <c r="D6" s="137"/>
      <c r="E6" s="126" t="s">
        <v>262</v>
      </c>
      <c r="F6" s="203">
        <v>32</v>
      </c>
      <c r="G6" s="303">
        <v>16.329999999999998</v>
      </c>
      <c r="H6" s="113">
        <f t="shared" ref="H6:H68" si="0">ROUND(F6*G6,2)</f>
        <v>522.55999999999995</v>
      </c>
    </row>
    <row r="7" spans="1:8">
      <c r="A7" s="203">
        <v>3</v>
      </c>
      <c r="B7" s="125" t="s">
        <v>317</v>
      </c>
      <c r="C7" s="126">
        <v>435129</v>
      </c>
      <c r="D7" s="137"/>
      <c r="E7" s="126" t="s">
        <v>262</v>
      </c>
      <c r="F7" s="203">
        <v>70</v>
      </c>
      <c r="G7" s="303">
        <v>34.68</v>
      </c>
      <c r="H7" s="113">
        <f t="shared" si="0"/>
        <v>2427.6</v>
      </c>
    </row>
    <row r="8" spans="1:8">
      <c r="A8" s="203">
        <v>4</v>
      </c>
      <c r="B8" s="125" t="s">
        <v>318</v>
      </c>
      <c r="C8" s="126">
        <v>298927</v>
      </c>
      <c r="D8" s="137"/>
      <c r="E8" s="126" t="s">
        <v>262</v>
      </c>
      <c r="F8" s="203">
        <v>400</v>
      </c>
      <c r="G8" s="303">
        <v>4.51</v>
      </c>
      <c r="H8" s="113">
        <f t="shared" si="0"/>
        <v>1804</v>
      </c>
    </row>
    <row r="9" spans="1:8">
      <c r="A9" s="203">
        <v>5</v>
      </c>
      <c r="B9" s="125" t="s">
        <v>438</v>
      </c>
      <c r="C9" s="126">
        <v>419859</v>
      </c>
      <c r="D9" s="137"/>
      <c r="E9" s="126" t="s">
        <v>262</v>
      </c>
      <c r="F9" s="203">
        <v>100</v>
      </c>
      <c r="G9" s="303">
        <v>2.2999999999999998</v>
      </c>
      <c r="H9" s="113">
        <f t="shared" si="0"/>
        <v>230</v>
      </c>
    </row>
    <row r="10" spans="1:8">
      <c r="A10" s="203">
        <v>6</v>
      </c>
      <c r="B10" s="125" t="s">
        <v>319</v>
      </c>
      <c r="C10" s="126">
        <v>403984</v>
      </c>
      <c r="D10" s="137"/>
      <c r="E10" s="126" t="s">
        <v>262</v>
      </c>
      <c r="F10" s="203">
        <v>200</v>
      </c>
      <c r="G10" s="303">
        <v>2.4</v>
      </c>
      <c r="H10" s="113">
        <f t="shared" si="0"/>
        <v>480</v>
      </c>
    </row>
    <row r="11" spans="1:8">
      <c r="A11" s="203">
        <v>7</v>
      </c>
      <c r="B11" s="125" t="s">
        <v>320</v>
      </c>
      <c r="C11" s="126">
        <v>390635</v>
      </c>
      <c r="D11" s="126">
        <v>11901</v>
      </c>
      <c r="E11" s="126" t="s">
        <v>321</v>
      </c>
      <c r="F11" s="203">
        <v>800</v>
      </c>
      <c r="G11" s="303">
        <v>0.61</v>
      </c>
      <c r="H11" s="113">
        <f t="shared" si="0"/>
        <v>488</v>
      </c>
    </row>
    <row r="12" spans="1:8">
      <c r="A12" s="203">
        <v>8</v>
      </c>
      <c r="B12" s="125" t="s">
        <v>322</v>
      </c>
      <c r="C12" s="126">
        <v>367831</v>
      </c>
      <c r="D12" s="137"/>
      <c r="E12" s="126" t="s">
        <v>323</v>
      </c>
      <c r="F12" s="203">
        <v>2</v>
      </c>
      <c r="G12" s="303">
        <v>206.51</v>
      </c>
      <c r="H12" s="113">
        <f t="shared" si="0"/>
        <v>413.02</v>
      </c>
    </row>
    <row r="13" spans="1:8">
      <c r="A13" s="203">
        <v>9</v>
      </c>
      <c r="B13" s="125" t="s">
        <v>324</v>
      </c>
      <c r="C13" s="126">
        <v>426453</v>
      </c>
      <c r="D13" s="137">
        <v>38774</v>
      </c>
      <c r="E13" s="126" t="s">
        <v>325</v>
      </c>
      <c r="F13" s="203">
        <v>200</v>
      </c>
      <c r="G13" s="303">
        <v>22.58</v>
      </c>
      <c r="H13" s="113">
        <f t="shared" si="0"/>
        <v>4516</v>
      </c>
    </row>
    <row r="14" spans="1:8">
      <c r="A14" s="203">
        <v>10</v>
      </c>
      <c r="B14" s="125" t="s">
        <v>326</v>
      </c>
      <c r="C14" s="126">
        <v>441133</v>
      </c>
      <c r="D14" s="137"/>
      <c r="E14" s="126" t="s">
        <v>262</v>
      </c>
      <c r="F14" s="203">
        <v>1000</v>
      </c>
      <c r="G14" s="303">
        <v>12.67</v>
      </c>
      <c r="H14" s="113">
        <f t="shared" si="0"/>
        <v>12670</v>
      </c>
    </row>
    <row r="15" spans="1:8">
      <c r="A15" s="203">
        <v>11</v>
      </c>
      <c r="B15" s="125" t="s">
        <v>327</v>
      </c>
      <c r="C15" s="126">
        <v>444603</v>
      </c>
      <c r="D15" s="137">
        <v>39387</v>
      </c>
      <c r="E15" s="126" t="s">
        <v>325</v>
      </c>
      <c r="F15" s="203">
        <v>600</v>
      </c>
      <c r="G15" s="303">
        <v>17.23</v>
      </c>
      <c r="H15" s="113">
        <f t="shared" si="0"/>
        <v>10338</v>
      </c>
    </row>
    <row r="16" spans="1:8">
      <c r="A16" s="203">
        <v>12</v>
      </c>
      <c r="B16" s="125" t="s">
        <v>328</v>
      </c>
      <c r="C16" s="126">
        <v>265016</v>
      </c>
      <c r="D16" s="137"/>
      <c r="E16" s="126" t="s">
        <v>325</v>
      </c>
      <c r="F16" s="203">
        <v>200</v>
      </c>
      <c r="G16" s="303">
        <v>49.2</v>
      </c>
      <c r="H16" s="113">
        <f t="shared" si="0"/>
        <v>9840</v>
      </c>
    </row>
    <row r="17" spans="1:8">
      <c r="A17" s="203">
        <v>13</v>
      </c>
      <c r="B17" s="125" t="s">
        <v>329</v>
      </c>
      <c r="C17" s="126">
        <v>294441</v>
      </c>
      <c r="D17" s="137">
        <v>12147</v>
      </c>
      <c r="E17" s="126" t="s">
        <v>325</v>
      </c>
      <c r="F17" s="203">
        <v>100</v>
      </c>
      <c r="G17" s="303">
        <v>12.18</v>
      </c>
      <c r="H17" s="113">
        <f t="shared" si="0"/>
        <v>1218</v>
      </c>
    </row>
    <row r="18" spans="1:8">
      <c r="A18" s="203">
        <v>14</v>
      </c>
      <c r="B18" s="125" t="s">
        <v>330</v>
      </c>
      <c r="C18" s="126">
        <v>335702</v>
      </c>
      <c r="D18" s="137">
        <v>38097</v>
      </c>
      <c r="E18" s="126" t="s">
        <v>325</v>
      </c>
      <c r="F18" s="203">
        <v>24</v>
      </c>
      <c r="G18" s="303">
        <v>5.14</v>
      </c>
      <c r="H18" s="113">
        <f t="shared" si="0"/>
        <v>123.36</v>
      </c>
    </row>
    <row r="19" spans="1:8">
      <c r="A19" s="203">
        <v>15</v>
      </c>
      <c r="B19" s="125" t="s">
        <v>331</v>
      </c>
      <c r="C19" s="126">
        <v>271396</v>
      </c>
      <c r="D19" s="137"/>
      <c r="E19" s="126" t="s">
        <v>325</v>
      </c>
      <c r="F19" s="203">
        <v>400</v>
      </c>
      <c r="G19" s="303">
        <v>0.34</v>
      </c>
      <c r="H19" s="113">
        <f t="shared" si="0"/>
        <v>136</v>
      </c>
    </row>
    <row r="20" spans="1:8" ht="45">
      <c r="A20" s="203">
        <v>16</v>
      </c>
      <c r="B20" s="184" t="s">
        <v>502</v>
      </c>
      <c r="C20" s="126">
        <v>329581</v>
      </c>
      <c r="D20" s="126">
        <v>1013</v>
      </c>
      <c r="E20" s="126" t="s">
        <v>321</v>
      </c>
      <c r="F20" s="126">
        <v>1600</v>
      </c>
      <c r="G20" s="303">
        <v>1.21</v>
      </c>
      <c r="H20" s="113">
        <f t="shared" si="0"/>
        <v>1936</v>
      </c>
    </row>
    <row r="21" spans="1:8" ht="45">
      <c r="A21" s="203">
        <v>17</v>
      </c>
      <c r="B21" s="184" t="s">
        <v>503</v>
      </c>
      <c r="C21" s="126">
        <v>329744</v>
      </c>
      <c r="D21" s="126">
        <v>1014</v>
      </c>
      <c r="E21" s="126" t="s">
        <v>321</v>
      </c>
      <c r="F21" s="126">
        <v>1600</v>
      </c>
      <c r="G21" s="303">
        <v>1.93</v>
      </c>
      <c r="H21" s="113">
        <f t="shared" si="0"/>
        <v>3088</v>
      </c>
    </row>
    <row r="22" spans="1:8" ht="60">
      <c r="A22" s="203">
        <v>18</v>
      </c>
      <c r="B22" s="185" t="s">
        <v>504</v>
      </c>
      <c r="C22" s="126">
        <v>343152</v>
      </c>
      <c r="D22" s="137"/>
      <c r="E22" s="126" t="s">
        <v>332</v>
      </c>
      <c r="F22" s="126">
        <v>2</v>
      </c>
      <c r="G22" s="303">
        <v>551.57000000000005</v>
      </c>
      <c r="H22" s="113">
        <f t="shared" si="0"/>
        <v>1103.1400000000001</v>
      </c>
    </row>
    <row r="23" spans="1:8" ht="60">
      <c r="A23" s="203">
        <v>19</v>
      </c>
      <c r="B23" s="185" t="s">
        <v>505</v>
      </c>
      <c r="C23" s="126">
        <v>324951</v>
      </c>
      <c r="D23" s="137"/>
      <c r="E23" s="126" t="s">
        <v>332</v>
      </c>
      <c r="F23" s="126">
        <v>2</v>
      </c>
      <c r="G23" s="303">
        <v>871.69</v>
      </c>
      <c r="H23" s="113">
        <f t="shared" si="0"/>
        <v>1743.38</v>
      </c>
    </row>
    <row r="24" spans="1:8" ht="30">
      <c r="A24" s="203">
        <v>20</v>
      </c>
      <c r="B24" s="185" t="s">
        <v>506</v>
      </c>
      <c r="C24" s="126">
        <v>307381</v>
      </c>
      <c r="D24" s="126">
        <v>12296</v>
      </c>
      <c r="E24" s="126" t="s">
        <v>262</v>
      </c>
      <c r="F24" s="126">
        <v>600</v>
      </c>
      <c r="G24" s="303">
        <v>4.2699999999999996</v>
      </c>
      <c r="H24" s="113">
        <f t="shared" si="0"/>
        <v>2562</v>
      </c>
    </row>
    <row r="25" spans="1:8" ht="45">
      <c r="A25" s="203">
        <v>21</v>
      </c>
      <c r="B25" s="185" t="s">
        <v>507</v>
      </c>
      <c r="C25" s="126">
        <v>456104</v>
      </c>
      <c r="D25" s="126">
        <v>38114</v>
      </c>
      <c r="E25" s="126" t="s">
        <v>262</v>
      </c>
      <c r="F25" s="203">
        <v>100</v>
      </c>
      <c r="G25" s="303">
        <v>15.48</v>
      </c>
      <c r="H25" s="113">
        <f t="shared" si="0"/>
        <v>1548</v>
      </c>
    </row>
    <row r="26" spans="1:8" ht="45">
      <c r="A26" s="203">
        <v>22</v>
      </c>
      <c r="B26" s="185" t="s">
        <v>508</v>
      </c>
      <c r="C26" s="126">
        <v>428544</v>
      </c>
      <c r="D26" s="137"/>
      <c r="E26" s="137" t="s">
        <v>262</v>
      </c>
      <c r="F26" s="186">
        <v>20</v>
      </c>
      <c r="G26" s="303">
        <v>91.82</v>
      </c>
      <c r="H26" s="113">
        <f t="shared" si="0"/>
        <v>1836.4</v>
      </c>
    </row>
    <row r="27" spans="1:8" ht="30">
      <c r="A27" s="203">
        <v>23</v>
      </c>
      <c r="B27" s="185" t="s">
        <v>490</v>
      </c>
      <c r="C27" s="126">
        <v>408712</v>
      </c>
      <c r="D27" s="137">
        <v>38101</v>
      </c>
      <c r="E27" s="137" t="s">
        <v>262</v>
      </c>
      <c r="F27" s="186">
        <v>40</v>
      </c>
      <c r="G27" s="303">
        <v>6.8</v>
      </c>
      <c r="H27" s="113">
        <f t="shared" si="0"/>
        <v>272</v>
      </c>
    </row>
    <row r="28" spans="1:8" ht="30">
      <c r="A28" s="203">
        <v>24</v>
      </c>
      <c r="B28" s="185" t="s">
        <v>491</v>
      </c>
      <c r="C28" s="126">
        <v>408713</v>
      </c>
      <c r="D28" s="137">
        <v>38102</v>
      </c>
      <c r="E28" s="137" t="s">
        <v>262</v>
      </c>
      <c r="F28" s="186">
        <v>20</v>
      </c>
      <c r="G28" s="303">
        <v>8.6999999999999993</v>
      </c>
      <c r="H28" s="113">
        <f t="shared" si="0"/>
        <v>174</v>
      </c>
    </row>
    <row r="29" spans="1:8" ht="60">
      <c r="A29" s="203">
        <v>25</v>
      </c>
      <c r="B29" s="185" t="s">
        <v>492</v>
      </c>
      <c r="C29" s="126">
        <v>373710</v>
      </c>
      <c r="D29" s="137">
        <v>7528</v>
      </c>
      <c r="E29" s="137" t="s">
        <v>262</v>
      </c>
      <c r="F29" s="186">
        <v>150</v>
      </c>
      <c r="G29" s="303">
        <v>7.99</v>
      </c>
      <c r="H29" s="113">
        <f t="shared" si="0"/>
        <v>1198.5</v>
      </c>
    </row>
    <row r="30" spans="1:8" ht="45">
      <c r="A30" s="203">
        <v>26</v>
      </c>
      <c r="B30" s="185" t="s">
        <v>493</v>
      </c>
      <c r="C30" s="126">
        <v>394695</v>
      </c>
      <c r="D30" s="137"/>
      <c r="E30" s="137" t="s">
        <v>262</v>
      </c>
      <c r="F30" s="186">
        <v>30</v>
      </c>
      <c r="G30" s="303">
        <v>30.22</v>
      </c>
      <c r="H30" s="113">
        <f t="shared" si="0"/>
        <v>906.6</v>
      </c>
    </row>
    <row r="31" spans="1:8" ht="30">
      <c r="A31" s="203">
        <v>27</v>
      </c>
      <c r="B31" s="185" t="s">
        <v>494</v>
      </c>
      <c r="C31" s="126">
        <v>402151</v>
      </c>
      <c r="D31" s="137"/>
      <c r="E31" s="137" t="s">
        <v>262</v>
      </c>
      <c r="F31" s="186">
        <v>800</v>
      </c>
      <c r="G31" s="303">
        <v>1.39</v>
      </c>
      <c r="H31" s="113">
        <f t="shared" si="0"/>
        <v>1112</v>
      </c>
    </row>
    <row r="32" spans="1:8" ht="75">
      <c r="A32" s="203">
        <v>28</v>
      </c>
      <c r="B32" s="185" t="s">
        <v>495</v>
      </c>
      <c r="C32" s="126">
        <v>429933</v>
      </c>
      <c r="D32" s="137"/>
      <c r="E32" s="137" t="s">
        <v>262</v>
      </c>
      <c r="F32" s="186">
        <v>20</v>
      </c>
      <c r="G32" s="303">
        <v>130.66999999999999</v>
      </c>
      <c r="H32" s="113">
        <f t="shared" si="0"/>
        <v>2613.4</v>
      </c>
    </row>
    <row r="33" spans="1:8" ht="45">
      <c r="A33" s="203">
        <v>29</v>
      </c>
      <c r="B33" s="185" t="s">
        <v>496</v>
      </c>
      <c r="C33" s="126">
        <v>150758</v>
      </c>
      <c r="D33" s="137"/>
      <c r="E33" s="137" t="s">
        <v>262</v>
      </c>
      <c r="F33" s="186">
        <v>100</v>
      </c>
      <c r="G33" s="303">
        <v>43.98</v>
      </c>
      <c r="H33" s="113">
        <f t="shared" si="0"/>
        <v>4398</v>
      </c>
    </row>
    <row r="34" spans="1:8" ht="30">
      <c r="A34" s="203">
        <v>30</v>
      </c>
      <c r="B34" s="185" t="s">
        <v>497</v>
      </c>
      <c r="C34" s="126">
        <v>254410</v>
      </c>
      <c r="D34" s="137">
        <v>21112</v>
      </c>
      <c r="E34" s="137" t="s">
        <v>262</v>
      </c>
      <c r="F34" s="186">
        <v>30</v>
      </c>
      <c r="G34" s="303">
        <v>209.09</v>
      </c>
      <c r="H34" s="113">
        <f t="shared" si="0"/>
        <v>6272.7</v>
      </c>
    </row>
    <row r="35" spans="1:8" ht="60">
      <c r="A35" s="203">
        <v>31</v>
      </c>
      <c r="B35" s="185" t="s">
        <v>498</v>
      </c>
      <c r="C35" s="126">
        <v>398129</v>
      </c>
      <c r="D35" s="137"/>
      <c r="E35" s="137" t="s">
        <v>333</v>
      </c>
      <c r="F35" s="186">
        <v>50</v>
      </c>
      <c r="G35" s="303">
        <v>46.45</v>
      </c>
      <c r="H35" s="113">
        <f t="shared" si="0"/>
        <v>2322.5</v>
      </c>
    </row>
    <row r="36" spans="1:8" ht="45">
      <c r="A36" s="203">
        <v>32</v>
      </c>
      <c r="B36" s="185" t="s">
        <v>499</v>
      </c>
      <c r="C36" s="126">
        <v>352796</v>
      </c>
      <c r="D36" s="137">
        <v>377</v>
      </c>
      <c r="E36" s="137" t="s">
        <v>262</v>
      </c>
      <c r="F36" s="186">
        <v>100</v>
      </c>
      <c r="G36" s="303">
        <v>29.4</v>
      </c>
      <c r="H36" s="113">
        <f t="shared" si="0"/>
        <v>2940</v>
      </c>
    </row>
    <row r="37" spans="1:8" ht="30">
      <c r="A37" s="203">
        <v>33</v>
      </c>
      <c r="B37" s="185" t="s">
        <v>500</v>
      </c>
      <c r="C37" s="126">
        <v>384012</v>
      </c>
      <c r="D37" s="137">
        <v>11684</v>
      </c>
      <c r="E37" s="126" t="s">
        <v>262</v>
      </c>
      <c r="F37" s="203">
        <v>50</v>
      </c>
      <c r="G37" s="303">
        <v>31.97</v>
      </c>
      <c r="H37" s="113">
        <f t="shared" si="0"/>
        <v>1598.5</v>
      </c>
    </row>
    <row r="38" spans="1:8" ht="75">
      <c r="A38" s="203">
        <v>34</v>
      </c>
      <c r="B38" s="185" t="s">
        <v>501</v>
      </c>
      <c r="C38" s="126">
        <v>350862</v>
      </c>
      <c r="D38" s="137">
        <v>7356</v>
      </c>
      <c r="E38" s="126" t="s">
        <v>334</v>
      </c>
      <c r="F38" s="126">
        <v>180</v>
      </c>
      <c r="G38" s="303">
        <v>21.75</v>
      </c>
      <c r="H38" s="113">
        <f t="shared" si="0"/>
        <v>3915</v>
      </c>
    </row>
    <row r="39" spans="1:8" ht="75">
      <c r="A39" s="203">
        <v>35</v>
      </c>
      <c r="B39" s="185" t="s">
        <v>481</v>
      </c>
      <c r="C39" s="126">
        <v>226409</v>
      </c>
      <c r="D39" s="137">
        <v>7356</v>
      </c>
      <c r="E39" s="126" t="s">
        <v>334</v>
      </c>
      <c r="F39" s="126">
        <v>90</v>
      </c>
      <c r="G39" s="303">
        <v>21.75</v>
      </c>
      <c r="H39" s="113">
        <f t="shared" si="0"/>
        <v>1957.5</v>
      </c>
    </row>
    <row r="40" spans="1:8" ht="60">
      <c r="A40" s="203">
        <v>36</v>
      </c>
      <c r="B40" s="185" t="s">
        <v>482</v>
      </c>
      <c r="C40" s="126">
        <v>313467</v>
      </c>
      <c r="D40" s="137">
        <v>43647</v>
      </c>
      <c r="E40" s="126" t="s">
        <v>334</v>
      </c>
      <c r="F40" s="126">
        <v>22</v>
      </c>
      <c r="G40" s="303">
        <v>20.440000000000001</v>
      </c>
      <c r="H40" s="113">
        <f t="shared" si="0"/>
        <v>449.68</v>
      </c>
    </row>
    <row r="41" spans="1:8" ht="60">
      <c r="A41" s="203">
        <v>37</v>
      </c>
      <c r="B41" s="185" t="s">
        <v>483</v>
      </c>
      <c r="C41" s="126">
        <v>223504</v>
      </c>
      <c r="D41" s="137"/>
      <c r="E41" s="126" t="s">
        <v>335</v>
      </c>
      <c r="F41" s="203">
        <v>10</v>
      </c>
      <c r="G41" s="303">
        <v>42.47</v>
      </c>
      <c r="H41" s="113">
        <f t="shared" si="0"/>
        <v>424.7</v>
      </c>
    </row>
    <row r="42" spans="1:8" ht="90">
      <c r="A42" s="203">
        <v>38</v>
      </c>
      <c r="B42" s="184" t="s">
        <v>484</v>
      </c>
      <c r="C42" s="126">
        <v>233059</v>
      </c>
      <c r="D42" s="137">
        <v>10481</v>
      </c>
      <c r="E42" s="126" t="s">
        <v>334</v>
      </c>
      <c r="F42" s="203">
        <v>18</v>
      </c>
      <c r="G42" s="303">
        <v>27.98</v>
      </c>
      <c r="H42" s="113">
        <f t="shared" si="0"/>
        <v>503.64</v>
      </c>
    </row>
    <row r="43" spans="1:8" ht="30">
      <c r="A43" s="203">
        <v>39</v>
      </c>
      <c r="B43" s="184" t="s">
        <v>485</v>
      </c>
      <c r="C43" s="126">
        <v>462357</v>
      </c>
      <c r="D43" s="137"/>
      <c r="E43" s="126" t="s">
        <v>336</v>
      </c>
      <c r="F43" s="203">
        <v>50</v>
      </c>
      <c r="G43" s="303">
        <v>23.04</v>
      </c>
      <c r="H43" s="113">
        <f t="shared" si="0"/>
        <v>1152</v>
      </c>
    </row>
    <row r="44" spans="1:8" ht="30">
      <c r="A44" s="203">
        <v>40</v>
      </c>
      <c r="B44" s="184" t="s">
        <v>486</v>
      </c>
      <c r="C44" s="126">
        <v>462354</v>
      </c>
      <c r="D44" s="137"/>
      <c r="E44" s="126" t="s">
        <v>337</v>
      </c>
      <c r="F44" s="203">
        <v>20</v>
      </c>
      <c r="G44" s="303">
        <v>19.53</v>
      </c>
      <c r="H44" s="113">
        <f t="shared" si="0"/>
        <v>390.6</v>
      </c>
    </row>
    <row r="45" spans="1:8" ht="45">
      <c r="A45" s="203">
        <v>41</v>
      </c>
      <c r="B45" s="184" t="s">
        <v>487</v>
      </c>
      <c r="C45" s="126">
        <v>383810</v>
      </c>
      <c r="D45" s="137">
        <v>39412</v>
      </c>
      <c r="E45" s="126" t="s">
        <v>338</v>
      </c>
      <c r="F45" s="203">
        <v>162</v>
      </c>
      <c r="G45" s="303">
        <v>12.48</v>
      </c>
      <c r="H45" s="113">
        <f t="shared" si="0"/>
        <v>2021.76</v>
      </c>
    </row>
    <row r="46" spans="1:8" ht="60">
      <c r="A46" s="203">
        <v>42</v>
      </c>
      <c r="B46" s="184" t="s">
        <v>488</v>
      </c>
      <c r="C46" s="126">
        <v>392441</v>
      </c>
      <c r="D46" s="137">
        <v>39515</v>
      </c>
      <c r="E46" s="126" t="s">
        <v>262</v>
      </c>
      <c r="F46" s="203">
        <v>400</v>
      </c>
      <c r="G46" s="303">
        <v>51.21</v>
      </c>
      <c r="H46" s="113">
        <f t="shared" si="0"/>
        <v>20484</v>
      </c>
    </row>
    <row r="47" spans="1:8" ht="45">
      <c r="A47" s="203">
        <v>43</v>
      </c>
      <c r="B47" s="184" t="s">
        <v>489</v>
      </c>
      <c r="C47" s="126">
        <v>432016</v>
      </c>
      <c r="D47" s="137">
        <v>39636</v>
      </c>
      <c r="E47" s="126" t="s">
        <v>339</v>
      </c>
      <c r="F47" s="203">
        <v>80</v>
      </c>
      <c r="G47" s="303">
        <v>158.69999999999999</v>
      </c>
      <c r="H47" s="113">
        <f t="shared" si="0"/>
        <v>12696</v>
      </c>
    </row>
    <row r="48" spans="1:8" ht="45">
      <c r="A48" s="203">
        <v>44</v>
      </c>
      <c r="B48" s="184" t="s">
        <v>473</v>
      </c>
      <c r="C48" s="126">
        <v>432016</v>
      </c>
      <c r="D48" s="137">
        <v>39636</v>
      </c>
      <c r="E48" s="126" t="s">
        <v>339</v>
      </c>
      <c r="F48" s="203">
        <v>20</v>
      </c>
      <c r="G48" s="303">
        <v>158.69999999999999</v>
      </c>
      <c r="H48" s="113">
        <f t="shared" si="0"/>
        <v>3174</v>
      </c>
    </row>
    <row r="49" spans="1:8" ht="45">
      <c r="A49" s="203">
        <v>45</v>
      </c>
      <c r="B49" s="184" t="s">
        <v>474</v>
      </c>
      <c r="C49" s="126">
        <v>412222</v>
      </c>
      <c r="D49" s="137"/>
      <c r="E49" s="126" t="s">
        <v>339</v>
      </c>
      <c r="F49" s="203">
        <v>40</v>
      </c>
      <c r="G49" s="303">
        <v>454.27</v>
      </c>
      <c r="H49" s="113">
        <f t="shared" si="0"/>
        <v>18170.8</v>
      </c>
    </row>
    <row r="50" spans="1:8" ht="45">
      <c r="A50" s="203">
        <v>46</v>
      </c>
      <c r="B50" s="184" t="s">
        <v>475</v>
      </c>
      <c r="C50" s="126">
        <v>412222</v>
      </c>
      <c r="D50" s="137"/>
      <c r="E50" s="126" t="s">
        <v>339</v>
      </c>
      <c r="F50" s="203">
        <v>40</v>
      </c>
      <c r="G50" s="303">
        <v>454.27</v>
      </c>
      <c r="H50" s="113">
        <f t="shared" si="0"/>
        <v>18170.8</v>
      </c>
    </row>
    <row r="51" spans="1:8" ht="45">
      <c r="A51" s="203">
        <v>47</v>
      </c>
      <c r="B51" s="184" t="s">
        <v>476</v>
      </c>
      <c r="C51" s="126">
        <v>449197</v>
      </c>
      <c r="D51" s="137">
        <v>4791</v>
      </c>
      <c r="E51" s="126" t="s">
        <v>340</v>
      </c>
      <c r="F51" s="203">
        <v>21.6</v>
      </c>
      <c r="G51" s="303">
        <v>24.34</v>
      </c>
      <c r="H51" s="113">
        <f t="shared" si="0"/>
        <v>525.74</v>
      </c>
    </row>
    <row r="52" spans="1:8" ht="30">
      <c r="A52" s="203">
        <v>48</v>
      </c>
      <c r="B52" s="184" t="s">
        <v>477</v>
      </c>
      <c r="C52" s="126">
        <v>660137</v>
      </c>
      <c r="D52" s="137"/>
      <c r="E52" s="126" t="s">
        <v>262</v>
      </c>
      <c r="F52" s="203">
        <v>50</v>
      </c>
      <c r="G52" s="303">
        <v>29.88</v>
      </c>
      <c r="H52" s="113">
        <f t="shared" si="0"/>
        <v>1494</v>
      </c>
    </row>
    <row r="53" spans="1:8">
      <c r="A53" s="203">
        <v>49</v>
      </c>
      <c r="B53" s="184" t="s">
        <v>478</v>
      </c>
      <c r="C53" s="126">
        <v>10162</v>
      </c>
      <c r="D53" s="137"/>
      <c r="E53" s="126" t="s">
        <v>262</v>
      </c>
      <c r="F53" s="203">
        <v>40</v>
      </c>
      <c r="G53" s="303">
        <v>33.869999999999997</v>
      </c>
      <c r="H53" s="113">
        <f t="shared" si="0"/>
        <v>1354.8</v>
      </c>
    </row>
    <row r="54" spans="1:8" ht="90">
      <c r="A54" s="203">
        <v>50</v>
      </c>
      <c r="B54" s="184" t="s">
        <v>479</v>
      </c>
      <c r="C54" s="126">
        <v>324026</v>
      </c>
      <c r="D54" s="137"/>
      <c r="E54" s="126" t="s">
        <v>262</v>
      </c>
      <c r="F54" s="126">
        <v>50</v>
      </c>
      <c r="G54" s="303">
        <v>178.35</v>
      </c>
      <c r="H54" s="113">
        <f t="shared" si="0"/>
        <v>8917.5</v>
      </c>
    </row>
    <row r="55" spans="1:8" ht="60">
      <c r="A55" s="203">
        <v>51</v>
      </c>
      <c r="B55" s="184" t="s">
        <v>480</v>
      </c>
      <c r="C55" s="126">
        <v>446224</v>
      </c>
      <c r="D55" s="137"/>
      <c r="E55" s="126" t="s">
        <v>262</v>
      </c>
      <c r="F55" s="126">
        <v>60</v>
      </c>
      <c r="G55" s="303">
        <v>38.909999999999997</v>
      </c>
      <c r="H55" s="113">
        <f t="shared" si="0"/>
        <v>2334.6</v>
      </c>
    </row>
    <row r="56" spans="1:8" ht="60">
      <c r="A56" s="203">
        <v>52</v>
      </c>
      <c r="B56" s="184" t="s">
        <v>467</v>
      </c>
      <c r="C56" s="126">
        <v>394879</v>
      </c>
      <c r="D56" s="137"/>
      <c r="E56" s="126" t="s">
        <v>262</v>
      </c>
      <c r="F56" s="126">
        <v>60</v>
      </c>
      <c r="G56" s="303">
        <v>48.05</v>
      </c>
      <c r="H56" s="113">
        <f t="shared" si="0"/>
        <v>2883</v>
      </c>
    </row>
    <row r="57" spans="1:8" ht="120">
      <c r="A57" s="203">
        <v>53</v>
      </c>
      <c r="B57" s="184" t="s">
        <v>468</v>
      </c>
      <c r="C57" s="126">
        <v>407035</v>
      </c>
      <c r="D57" s="137"/>
      <c r="E57" s="126" t="s">
        <v>262</v>
      </c>
      <c r="F57" s="203">
        <v>50</v>
      </c>
      <c r="G57" s="303">
        <v>92.95</v>
      </c>
      <c r="H57" s="113">
        <f t="shared" si="0"/>
        <v>4647.5</v>
      </c>
    </row>
    <row r="58" spans="1:8" ht="90">
      <c r="A58" s="203">
        <v>54</v>
      </c>
      <c r="B58" s="187" t="s">
        <v>469</v>
      </c>
      <c r="C58" s="126">
        <v>424787</v>
      </c>
      <c r="D58" s="137"/>
      <c r="E58" s="126" t="s">
        <v>325</v>
      </c>
      <c r="F58" s="203">
        <v>72</v>
      </c>
      <c r="G58" s="303">
        <v>6.08</v>
      </c>
      <c r="H58" s="113">
        <f t="shared" si="0"/>
        <v>437.76</v>
      </c>
    </row>
    <row r="59" spans="1:8" ht="105">
      <c r="A59" s="203">
        <v>55</v>
      </c>
      <c r="B59" s="187" t="s">
        <v>470</v>
      </c>
      <c r="C59" s="126">
        <v>329744</v>
      </c>
      <c r="D59" s="137">
        <v>1022</v>
      </c>
      <c r="E59" s="203" t="s">
        <v>321</v>
      </c>
      <c r="F59" s="203">
        <v>800</v>
      </c>
      <c r="G59" s="303">
        <v>2.86</v>
      </c>
      <c r="H59" s="113">
        <f t="shared" si="0"/>
        <v>2288</v>
      </c>
    </row>
    <row r="60" spans="1:8" ht="75">
      <c r="A60" s="203">
        <v>56</v>
      </c>
      <c r="B60" s="187" t="s">
        <v>471</v>
      </c>
      <c r="C60" s="126">
        <v>418908</v>
      </c>
      <c r="D60" s="137">
        <v>993</v>
      </c>
      <c r="E60" s="203" t="s">
        <v>321</v>
      </c>
      <c r="F60" s="203">
        <v>800</v>
      </c>
      <c r="G60" s="303">
        <v>2.06</v>
      </c>
      <c r="H60" s="113">
        <f t="shared" si="0"/>
        <v>1648</v>
      </c>
    </row>
    <row r="61" spans="1:8" ht="90">
      <c r="A61" s="203">
        <v>57</v>
      </c>
      <c r="B61" s="125" t="s">
        <v>472</v>
      </c>
      <c r="C61" s="126">
        <v>418910</v>
      </c>
      <c r="D61" s="137">
        <v>1021</v>
      </c>
      <c r="E61" s="203" t="s">
        <v>321</v>
      </c>
      <c r="F61" s="203">
        <v>800</v>
      </c>
      <c r="G61" s="303">
        <v>4.0999999999999996</v>
      </c>
      <c r="H61" s="113">
        <f t="shared" si="0"/>
        <v>3280</v>
      </c>
    </row>
    <row r="62" spans="1:8" ht="105">
      <c r="A62" s="203">
        <v>58</v>
      </c>
      <c r="B62" s="187" t="s">
        <v>461</v>
      </c>
      <c r="C62" s="126">
        <v>462114</v>
      </c>
      <c r="D62" s="137">
        <v>39559</v>
      </c>
      <c r="E62" s="203" t="s">
        <v>321</v>
      </c>
      <c r="F62" s="203">
        <v>1800</v>
      </c>
      <c r="G62" s="303">
        <v>1.83</v>
      </c>
      <c r="H62" s="113">
        <f t="shared" si="0"/>
        <v>3294</v>
      </c>
    </row>
    <row r="63" spans="1:8" ht="75">
      <c r="A63" s="203">
        <v>59</v>
      </c>
      <c r="B63" s="187" t="s">
        <v>462</v>
      </c>
      <c r="C63" s="126">
        <v>415720</v>
      </c>
      <c r="D63" s="137"/>
      <c r="E63" s="203" t="s">
        <v>321</v>
      </c>
      <c r="F63" s="203">
        <v>400</v>
      </c>
      <c r="G63" s="303">
        <v>6.05</v>
      </c>
      <c r="H63" s="113">
        <f t="shared" si="0"/>
        <v>2420</v>
      </c>
    </row>
    <row r="64" spans="1:8" ht="90">
      <c r="A64" s="203">
        <v>60</v>
      </c>
      <c r="B64" s="187" t="s">
        <v>463</v>
      </c>
      <c r="C64" s="126">
        <v>418908</v>
      </c>
      <c r="D64" s="137">
        <v>993</v>
      </c>
      <c r="E64" s="203" t="s">
        <v>321</v>
      </c>
      <c r="F64" s="203">
        <v>800</v>
      </c>
      <c r="G64" s="303">
        <v>2.06</v>
      </c>
      <c r="H64" s="113">
        <f t="shared" si="0"/>
        <v>1648</v>
      </c>
    </row>
    <row r="65" spans="1:8" ht="90">
      <c r="A65" s="203">
        <v>61</v>
      </c>
      <c r="B65" s="187" t="s">
        <v>464</v>
      </c>
      <c r="C65" s="126">
        <v>329744</v>
      </c>
      <c r="D65" s="137">
        <v>1022</v>
      </c>
      <c r="E65" s="203" t="s">
        <v>321</v>
      </c>
      <c r="F65" s="203">
        <v>800</v>
      </c>
      <c r="G65" s="303">
        <v>2.86</v>
      </c>
      <c r="H65" s="113">
        <f t="shared" si="0"/>
        <v>2288</v>
      </c>
    </row>
    <row r="66" spans="1:8" ht="90">
      <c r="A66" s="203">
        <v>62</v>
      </c>
      <c r="B66" s="187" t="s">
        <v>465</v>
      </c>
      <c r="C66" s="126">
        <v>418910</v>
      </c>
      <c r="D66" s="137">
        <v>1021</v>
      </c>
      <c r="E66" s="203" t="s">
        <v>321</v>
      </c>
      <c r="F66" s="203">
        <v>800</v>
      </c>
      <c r="G66" s="303">
        <v>4.0999999999999996</v>
      </c>
      <c r="H66" s="113">
        <f t="shared" si="0"/>
        <v>3280</v>
      </c>
    </row>
    <row r="67" spans="1:8" ht="60">
      <c r="A67" s="203">
        <v>63</v>
      </c>
      <c r="B67" s="187" t="s">
        <v>466</v>
      </c>
      <c r="C67" s="126">
        <v>390365</v>
      </c>
      <c r="D67" s="137">
        <v>11901</v>
      </c>
      <c r="E67" s="203" t="s">
        <v>321</v>
      </c>
      <c r="F67" s="203">
        <v>1200</v>
      </c>
      <c r="G67" s="303">
        <v>0.61</v>
      </c>
      <c r="H67" s="113">
        <f t="shared" si="0"/>
        <v>732</v>
      </c>
    </row>
    <row r="68" spans="1:8" ht="75">
      <c r="A68" s="203">
        <v>64</v>
      </c>
      <c r="B68" s="187" t="s">
        <v>455</v>
      </c>
      <c r="C68" s="126">
        <v>418908</v>
      </c>
      <c r="D68" s="137">
        <v>993</v>
      </c>
      <c r="E68" s="203" t="s">
        <v>321</v>
      </c>
      <c r="F68" s="203">
        <v>800</v>
      </c>
      <c r="G68" s="303">
        <v>2.06</v>
      </c>
      <c r="H68" s="113">
        <f t="shared" si="0"/>
        <v>1648</v>
      </c>
    </row>
    <row r="69" spans="1:8" ht="75">
      <c r="A69" s="203">
        <v>65</v>
      </c>
      <c r="B69" s="187" t="s">
        <v>456</v>
      </c>
      <c r="C69" s="126">
        <v>329744</v>
      </c>
      <c r="D69" s="137">
        <v>1022</v>
      </c>
      <c r="E69" s="203" t="s">
        <v>321</v>
      </c>
      <c r="F69" s="203">
        <v>800</v>
      </c>
      <c r="G69" s="303">
        <v>2.86</v>
      </c>
      <c r="H69" s="113">
        <f t="shared" ref="H69:H132" si="1">ROUND(F69*G69,2)</f>
        <v>2288</v>
      </c>
    </row>
    <row r="70" spans="1:8" ht="90">
      <c r="A70" s="203">
        <v>66</v>
      </c>
      <c r="B70" s="187" t="s">
        <v>457</v>
      </c>
      <c r="C70" s="126">
        <v>418910</v>
      </c>
      <c r="D70" s="137">
        <v>1021</v>
      </c>
      <c r="E70" s="203" t="s">
        <v>321</v>
      </c>
      <c r="F70" s="203">
        <v>800</v>
      </c>
      <c r="G70" s="303">
        <v>4.0999999999999996</v>
      </c>
      <c r="H70" s="113">
        <f t="shared" si="1"/>
        <v>3280</v>
      </c>
    </row>
    <row r="71" spans="1:8" ht="75">
      <c r="A71" s="203">
        <v>67</v>
      </c>
      <c r="B71" s="187" t="s">
        <v>458</v>
      </c>
      <c r="C71" s="126">
        <v>418908</v>
      </c>
      <c r="D71" s="137">
        <v>993</v>
      </c>
      <c r="E71" s="203" t="s">
        <v>321</v>
      </c>
      <c r="F71" s="203">
        <v>800</v>
      </c>
      <c r="G71" s="303">
        <v>2.06</v>
      </c>
      <c r="H71" s="113">
        <f t="shared" si="1"/>
        <v>1648</v>
      </c>
    </row>
    <row r="72" spans="1:8" ht="90">
      <c r="A72" s="203">
        <v>68</v>
      </c>
      <c r="B72" s="187" t="s">
        <v>459</v>
      </c>
      <c r="C72" s="126">
        <v>329744</v>
      </c>
      <c r="D72" s="137">
        <v>1022</v>
      </c>
      <c r="E72" s="203" t="s">
        <v>321</v>
      </c>
      <c r="F72" s="203">
        <v>800</v>
      </c>
      <c r="G72" s="303">
        <v>2.86</v>
      </c>
      <c r="H72" s="113">
        <f t="shared" si="1"/>
        <v>2288</v>
      </c>
    </row>
    <row r="73" spans="1:8" ht="90">
      <c r="A73" s="203">
        <v>69</v>
      </c>
      <c r="B73" s="187" t="s">
        <v>460</v>
      </c>
      <c r="C73" s="126">
        <v>418910</v>
      </c>
      <c r="D73" s="137">
        <v>1021</v>
      </c>
      <c r="E73" s="203" t="s">
        <v>321</v>
      </c>
      <c r="F73" s="203">
        <v>800</v>
      </c>
      <c r="G73" s="303">
        <v>4.0999999999999996</v>
      </c>
      <c r="H73" s="113">
        <f t="shared" si="1"/>
        <v>3280</v>
      </c>
    </row>
    <row r="74" spans="1:8" ht="45">
      <c r="A74" s="203">
        <v>70</v>
      </c>
      <c r="B74" s="187" t="s">
        <v>443</v>
      </c>
      <c r="C74" s="126">
        <v>334034</v>
      </c>
      <c r="D74" s="137">
        <v>2688</v>
      </c>
      <c r="E74" s="203" t="s">
        <v>321</v>
      </c>
      <c r="F74" s="203">
        <v>500</v>
      </c>
      <c r="G74" s="303">
        <v>1.37</v>
      </c>
      <c r="H74" s="113">
        <f t="shared" si="1"/>
        <v>685</v>
      </c>
    </row>
    <row r="75" spans="1:8" ht="60">
      <c r="A75" s="203">
        <v>71</v>
      </c>
      <c r="B75" s="187" t="s">
        <v>444</v>
      </c>
      <c r="C75" s="126">
        <v>303955</v>
      </c>
      <c r="D75" s="137">
        <v>39603</v>
      </c>
      <c r="E75" s="203" t="s">
        <v>325</v>
      </c>
      <c r="F75" s="203">
        <v>480</v>
      </c>
      <c r="G75" s="303">
        <v>2.0299999999999998</v>
      </c>
      <c r="H75" s="113">
        <f t="shared" si="1"/>
        <v>974.4</v>
      </c>
    </row>
    <row r="76" spans="1:8" ht="30">
      <c r="A76" s="203">
        <v>72</v>
      </c>
      <c r="B76" s="187" t="s">
        <v>445</v>
      </c>
      <c r="C76" s="126">
        <v>335485</v>
      </c>
      <c r="D76" s="137">
        <v>38092</v>
      </c>
      <c r="E76" s="203" t="s">
        <v>325</v>
      </c>
      <c r="F76" s="203">
        <v>48</v>
      </c>
      <c r="G76" s="303">
        <v>2</v>
      </c>
      <c r="H76" s="113">
        <f t="shared" si="1"/>
        <v>96</v>
      </c>
    </row>
    <row r="77" spans="1:8" ht="30">
      <c r="A77" s="203">
        <v>73</v>
      </c>
      <c r="B77" s="187" t="s">
        <v>446</v>
      </c>
      <c r="C77" s="126">
        <v>328145</v>
      </c>
      <c r="D77" s="137">
        <v>38093</v>
      </c>
      <c r="E77" s="203" t="s">
        <v>325</v>
      </c>
      <c r="F77" s="203">
        <v>48</v>
      </c>
      <c r="G77" s="303">
        <v>2.06</v>
      </c>
      <c r="H77" s="113">
        <f t="shared" si="1"/>
        <v>98.88</v>
      </c>
    </row>
    <row r="78" spans="1:8" ht="75">
      <c r="A78" s="203">
        <v>74</v>
      </c>
      <c r="B78" s="187" t="s">
        <v>447</v>
      </c>
      <c r="C78" s="126">
        <v>257635</v>
      </c>
      <c r="D78" s="137"/>
      <c r="E78" s="203" t="s">
        <v>267</v>
      </c>
      <c r="F78" s="203">
        <v>7</v>
      </c>
      <c r="G78" s="303">
        <v>4.7</v>
      </c>
      <c r="H78" s="113">
        <f t="shared" si="1"/>
        <v>32.9</v>
      </c>
    </row>
    <row r="79" spans="1:8" ht="58.5" customHeight="1">
      <c r="A79" s="203">
        <v>75</v>
      </c>
      <c r="B79" s="187" t="s">
        <v>826</v>
      </c>
      <c r="C79" s="126">
        <v>456104</v>
      </c>
      <c r="D79" s="137">
        <v>38114</v>
      </c>
      <c r="E79" s="203" t="s">
        <v>325</v>
      </c>
      <c r="F79" s="203">
        <v>96</v>
      </c>
      <c r="G79" s="303">
        <v>15.48</v>
      </c>
      <c r="H79" s="113">
        <f t="shared" si="1"/>
        <v>1486.08</v>
      </c>
    </row>
    <row r="80" spans="1:8" ht="45">
      <c r="A80" s="203">
        <v>76</v>
      </c>
      <c r="B80" s="187" t="s">
        <v>448</v>
      </c>
      <c r="C80" s="126">
        <v>151037</v>
      </c>
      <c r="D80" s="137"/>
      <c r="E80" s="203" t="s">
        <v>323</v>
      </c>
      <c r="F80" s="203">
        <v>4</v>
      </c>
      <c r="G80" s="303">
        <v>49.64</v>
      </c>
      <c r="H80" s="113">
        <f t="shared" si="1"/>
        <v>198.56</v>
      </c>
    </row>
    <row r="81" spans="1:8">
      <c r="A81" s="203">
        <v>77</v>
      </c>
      <c r="B81" s="187" t="s">
        <v>449</v>
      </c>
      <c r="C81" s="126">
        <v>446784</v>
      </c>
      <c r="D81" s="137"/>
      <c r="E81" s="203" t="s">
        <v>325</v>
      </c>
      <c r="F81" s="203">
        <v>24</v>
      </c>
      <c r="G81" s="303">
        <v>8.52</v>
      </c>
      <c r="H81" s="113">
        <f t="shared" si="1"/>
        <v>204.48</v>
      </c>
    </row>
    <row r="82" spans="1:8">
      <c r="A82" s="203">
        <v>78</v>
      </c>
      <c r="B82" s="187" t="s">
        <v>341</v>
      </c>
      <c r="C82" s="126">
        <v>395770</v>
      </c>
      <c r="D82" s="137"/>
      <c r="E82" s="203" t="s">
        <v>325</v>
      </c>
      <c r="F82" s="203">
        <v>48</v>
      </c>
      <c r="G82" s="303">
        <v>8.56</v>
      </c>
      <c r="H82" s="113">
        <f t="shared" si="1"/>
        <v>410.88</v>
      </c>
    </row>
    <row r="83" spans="1:8" ht="45">
      <c r="A83" s="203">
        <v>79</v>
      </c>
      <c r="B83" s="187" t="s">
        <v>450</v>
      </c>
      <c r="C83" s="126">
        <v>298202</v>
      </c>
      <c r="D83" s="137">
        <v>12296</v>
      </c>
      <c r="E83" s="203" t="s">
        <v>325</v>
      </c>
      <c r="F83" s="203">
        <v>720</v>
      </c>
      <c r="G83" s="303">
        <v>4.2699999999999996</v>
      </c>
      <c r="H83" s="113">
        <f t="shared" si="1"/>
        <v>3074.4</v>
      </c>
    </row>
    <row r="84" spans="1:8" ht="30">
      <c r="A84" s="203">
        <v>80</v>
      </c>
      <c r="B84" s="187" t="s">
        <v>451</v>
      </c>
      <c r="C84" s="126">
        <v>252645</v>
      </c>
      <c r="D84" s="137">
        <v>38101</v>
      </c>
      <c r="E84" s="203" t="s">
        <v>325</v>
      </c>
      <c r="F84" s="203">
        <v>120</v>
      </c>
      <c r="G84" s="303">
        <v>6.8</v>
      </c>
      <c r="H84" s="113">
        <f t="shared" si="1"/>
        <v>816</v>
      </c>
    </row>
    <row r="85" spans="1:8">
      <c r="A85" s="203">
        <v>81</v>
      </c>
      <c r="B85" s="187" t="s">
        <v>452</v>
      </c>
      <c r="C85" s="126">
        <v>395746</v>
      </c>
      <c r="D85" s="137">
        <v>12147</v>
      </c>
      <c r="E85" s="203" t="s">
        <v>325</v>
      </c>
      <c r="F85" s="203">
        <v>72</v>
      </c>
      <c r="G85" s="303">
        <v>12.18</v>
      </c>
      <c r="H85" s="113">
        <f t="shared" si="1"/>
        <v>876.96</v>
      </c>
    </row>
    <row r="86" spans="1:8">
      <c r="A86" s="203">
        <v>82</v>
      </c>
      <c r="B86" s="187" t="s">
        <v>453</v>
      </c>
      <c r="C86" s="126">
        <v>3995745</v>
      </c>
      <c r="D86" s="137">
        <v>38075</v>
      </c>
      <c r="E86" s="203" t="s">
        <v>325</v>
      </c>
      <c r="F86" s="203">
        <v>12</v>
      </c>
      <c r="G86" s="303">
        <v>13.84</v>
      </c>
      <c r="H86" s="113">
        <f t="shared" si="1"/>
        <v>166.08</v>
      </c>
    </row>
    <row r="87" spans="1:8" ht="30">
      <c r="A87" s="203">
        <v>83</v>
      </c>
      <c r="B87" s="187" t="s">
        <v>454</v>
      </c>
      <c r="C87" s="137">
        <v>422841</v>
      </c>
      <c r="D87" s="137"/>
      <c r="E87" s="186" t="s">
        <v>325</v>
      </c>
      <c r="F87" s="186">
        <v>60</v>
      </c>
      <c r="G87" s="303">
        <v>19.97</v>
      </c>
      <c r="H87" s="113">
        <f t="shared" si="1"/>
        <v>1198.2</v>
      </c>
    </row>
    <row r="88" spans="1:8">
      <c r="A88" s="203">
        <v>84</v>
      </c>
      <c r="B88" s="187" t="s">
        <v>342</v>
      </c>
      <c r="C88" s="137"/>
      <c r="D88" s="137"/>
      <c r="E88" s="186" t="s">
        <v>343</v>
      </c>
      <c r="F88" s="186">
        <v>90</v>
      </c>
      <c r="G88" s="303">
        <v>34.99</v>
      </c>
      <c r="H88" s="113">
        <f t="shared" si="1"/>
        <v>3149.1</v>
      </c>
    </row>
    <row r="89" spans="1:8">
      <c r="A89" s="203">
        <v>85</v>
      </c>
      <c r="B89" s="187" t="s">
        <v>344</v>
      </c>
      <c r="C89" s="137"/>
      <c r="D89" s="137"/>
      <c r="E89" s="186" t="s">
        <v>325</v>
      </c>
      <c r="F89" s="186">
        <v>90</v>
      </c>
      <c r="G89" s="303">
        <v>61.56</v>
      </c>
      <c r="H89" s="113">
        <f t="shared" si="1"/>
        <v>5540.4</v>
      </c>
    </row>
    <row r="90" spans="1:8">
      <c r="A90" s="203">
        <v>86</v>
      </c>
      <c r="B90" s="187" t="s">
        <v>345</v>
      </c>
      <c r="C90" s="137"/>
      <c r="D90" s="137"/>
      <c r="E90" s="186" t="s">
        <v>325</v>
      </c>
      <c r="F90" s="186">
        <v>90</v>
      </c>
      <c r="G90" s="303">
        <v>24.99</v>
      </c>
      <c r="H90" s="113">
        <f t="shared" si="1"/>
        <v>2249.1</v>
      </c>
    </row>
    <row r="91" spans="1:8">
      <c r="A91" s="203">
        <v>87</v>
      </c>
      <c r="B91" s="187" t="s">
        <v>346</v>
      </c>
      <c r="C91" s="137"/>
      <c r="D91" s="137"/>
      <c r="E91" s="186" t="s">
        <v>321</v>
      </c>
      <c r="F91" s="186">
        <v>180</v>
      </c>
      <c r="G91" s="303">
        <v>7</v>
      </c>
      <c r="H91" s="113">
        <f t="shared" si="1"/>
        <v>1260</v>
      </c>
    </row>
    <row r="92" spans="1:8">
      <c r="A92" s="203">
        <v>88</v>
      </c>
      <c r="B92" s="187" t="s">
        <v>347</v>
      </c>
      <c r="C92" s="137"/>
      <c r="D92" s="137"/>
      <c r="E92" s="186" t="s">
        <v>325</v>
      </c>
      <c r="F92" s="186">
        <v>90</v>
      </c>
      <c r="G92" s="303">
        <v>12.1</v>
      </c>
      <c r="H92" s="113">
        <f t="shared" si="1"/>
        <v>1089</v>
      </c>
    </row>
    <row r="93" spans="1:8">
      <c r="A93" s="203">
        <v>89</v>
      </c>
      <c r="B93" s="187" t="s">
        <v>348</v>
      </c>
      <c r="C93" s="137"/>
      <c r="D93" s="137"/>
      <c r="E93" s="186" t="s">
        <v>325</v>
      </c>
      <c r="F93" s="186">
        <v>90</v>
      </c>
      <c r="G93" s="303">
        <v>13.3</v>
      </c>
      <c r="H93" s="113">
        <f t="shared" si="1"/>
        <v>1197</v>
      </c>
    </row>
    <row r="94" spans="1:8">
      <c r="A94" s="203">
        <v>90</v>
      </c>
      <c r="B94" s="187" t="s">
        <v>349</v>
      </c>
      <c r="C94" s="137"/>
      <c r="D94" s="137"/>
      <c r="E94" s="186" t="s">
        <v>325</v>
      </c>
      <c r="F94" s="186">
        <v>90</v>
      </c>
      <c r="G94" s="303">
        <v>11.28</v>
      </c>
      <c r="H94" s="113">
        <f t="shared" si="1"/>
        <v>1015.2</v>
      </c>
    </row>
    <row r="95" spans="1:8">
      <c r="A95" s="203">
        <v>91</v>
      </c>
      <c r="B95" s="188" t="s">
        <v>350</v>
      </c>
      <c r="C95" s="189">
        <v>467257</v>
      </c>
      <c r="D95" s="137"/>
      <c r="E95" s="186" t="s">
        <v>336</v>
      </c>
      <c r="F95" s="186">
        <v>2</v>
      </c>
      <c r="G95" s="303">
        <v>7.29</v>
      </c>
      <c r="H95" s="113">
        <f t="shared" si="1"/>
        <v>14.58</v>
      </c>
    </row>
    <row r="96" spans="1:8">
      <c r="A96" s="203">
        <v>92</v>
      </c>
      <c r="B96" s="188" t="s">
        <v>351</v>
      </c>
      <c r="C96" s="189">
        <v>467258</v>
      </c>
      <c r="D96" s="137"/>
      <c r="E96" s="186" t="s">
        <v>336</v>
      </c>
      <c r="F96" s="186">
        <v>2</v>
      </c>
      <c r="G96" s="303">
        <v>7.25</v>
      </c>
      <c r="H96" s="113">
        <f t="shared" si="1"/>
        <v>14.5</v>
      </c>
    </row>
    <row r="97" spans="1:8">
      <c r="A97" s="203">
        <v>93</v>
      </c>
      <c r="B97" s="188" t="s">
        <v>352</v>
      </c>
      <c r="C97" s="189">
        <v>467259</v>
      </c>
      <c r="D97" s="137"/>
      <c r="E97" s="186" t="s">
        <v>336</v>
      </c>
      <c r="F97" s="186">
        <v>2</v>
      </c>
      <c r="G97" s="303">
        <v>13.5</v>
      </c>
      <c r="H97" s="113">
        <f t="shared" si="1"/>
        <v>27</v>
      </c>
    </row>
    <row r="98" spans="1:8">
      <c r="A98" s="203">
        <v>94</v>
      </c>
      <c r="B98" s="188" t="s">
        <v>353</v>
      </c>
      <c r="C98" s="189">
        <v>467260</v>
      </c>
      <c r="D98" s="137"/>
      <c r="E98" s="186" t="s">
        <v>336</v>
      </c>
      <c r="F98" s="186">
        <v>2</v>
      </c>
      <c r="G98" s="303">
        <v>18</v>
      </c>
      <c r="H98" s="113">
        <f t="shared" si="1"/>
        <v>36</v>
      </c>
    </row>
    <row r="99" spans="1:8">
      <c r="A99" s="203">
        <v>95</v>
      </c>
      <c r="B99" s="188" t="s">
        <v>354</v>
      </c>
      <c r="C99" s="189">
        <v>467261</v>
      </c>
      <c r="D99" s="137"/>
      <c r="E99" s="186" t="s">
        <v>336</v>
      </c>
      <c r="F99" s="186">
        <v>2</v>
      </c>
      <c r="G99" s="303">
        <v>27.9</v>
      </c>
      <c r="H99" s="113">
        <f t="shared" si="1"/>
        <v>55.8</v>
      </c>
    </row>
    <row r="100" spans="1:8">
      <c r="A100" s="203">
        <v>96</v>
      </c>
      <c r="B100" s="188" t="s">
        <v>355</v>
      </c>
      <c r="C100" s="189">
        <v>467262</v>
      </c>
      <c r="D100" s="137"/>
      <c r="E100" s="186" t="s">
        <v>336</v>
      </c>
      <c r="F100" s="186">
        <v>2</v>
      </c>
      <c r="G100" s="303">
        <v>34.19</v>
      </c>
      <c r="H100" s="113">
        <f t="shared" si="1"/>
        <v>68.38</v>
      </c>
    </row>
    <row r="101" spans="1:8">
      <c r="A101" s="203">
        <v>97</v>
      </c>
      <c r="B101" s="188" t="s">
        <v>356</v>
      </c>
      <c r="C101" s="189">
        <v>467263</v>
      </c>
      <c r="D101" s="137"/>
      <c r="E101" s="186" t="s">
        <v>336</v>
      </c>
      <c r="F101" s="186">
        <v>2</v>
      </c>
      <c r="G101" s="303">
        <v>30.89</v>
      </c>
      <c r="H101" s="113">
        <f t="shared" si="1"/>
        <v>61.78</v>
      </c>
    </row>
    <row r="102" spans="1:8">
      <c r="A102" s="203">
        <v>98</v>
      </c>
      <c r="B102" s="188" t="s">
        <v>357</v>
      </c>
      <c r="C102" s="189">
        <v>467264</v>
      </c>
      <c r="D102" s="137"/>
      <c r="E102" s="186" t="s">
        <v>336</v>
      </c>
      <c r="F102" s="186">
        <v>2</v>
      </c>
      <c r="G102" s="303">
        <v>41.15</v>
      </c>
      <c r="H102" s="113">
        <f t="shared" si="1"/>
        <v>82.3</v>
      </c>
    </row>
    <row r="103" spans="1:8">
      <c r="A103" s="203">
        <v>99</v>
      </c>
      <c r="B103" s="188" t="s">
        <v>358</v>
      </c>
      <c r="C103" s="189">
        <v>226874</v>
      </c>
      <c r="D103" s="137"/>
      <c r="E103" s="186" t="s">
        <v>336</v>
      </c>
      <c r="F103" s="186">
        <v>18</v>
      </c>
      <c r="G103" s="303">
        <v>30.53</v>
      </c>
      <c r="H103" s="113">
        <f t="shared" si="1"/>
        <v>549.54</v>
      </c>
    </row>
    <row r="104" spans="1:8">
      <c r="A104" s="203">
        <v>100</v>
      </c>
      <c r="B104" s="188" t="s">
        <v>359</v>
      </c>
      <c r="C104" s="189">
        <v>384303</v>
      </c>
      <c r="D104" s="137"/>
      <c r="E104" s="186" t="s">
        <v>360</v>
      </c>
      <c r="F104" s="186">
        <v>18</v>
      </c>
      <c r="G104" s="303">
        <v>2.23</v>
      </c>
      <c r="H104" s="113">
        <f t="shared" si="1"/>
        <v>40.14</v>
      </c>
    </row>
    <row r="105" spans="1:8">
      <c r="A105" s="203">
        <v>101</v>
      </c>
      <c r="B105" s="188" t="s">
        <v>361</v>
      </c>
      <c r="C105" s="189">
        <v>430277</v>
      </c>
      <c r="D105" s="137">
        <v>2501</v>
      </c>
      <c r="E105" s="186" t="s">
        <v>360</v>
      </c>
      <c r="F105" s="186">
        <v>18</v>
      </c>
      <c r="G105" s="303">
        <v>12.96</v>
      </c>
      <c r="H105" s="113">
        <f t="shared" si="1"/>
        <v>233.28</v>
      </c>
    </row>
    <row r="106" spans="1:8">
      <c r="A106" s="203">
        <v>102</v>
      </c>
      <c r="B106" s="188" t="s">
        <v>362</v>
      </c>
      <c r="C106" s="189">
        <v>384949</v>
      </c>
      <c r="D106" s="137"/>
      <c r="E106" s="186" t="s">
        <v>360</v>
      </c>
      <c r="F106" s="186">
        <v>18</v>
      </c>
      <c r="G106" s="303">
        <v>1.72</v>
      </c>
      <c r="H106" s="113">
        <f t="shared" si="1"/>
        <v>30.96</v>
      </c>
    </row>
    <row r="107" spans="1:8">
      <c r="A107" s="203">
        <v>103</v>
      </c>
      <c r="B107" s="188" t="s">
        <v>363</v>
      </c>
      <c r="C107" s="189">
        <v>446216</v>
      </c>
      <c r="D107" s="137"/>
      <c r="E107" s="186" t="s">
        <v>267</v>
      </c>
      <c r="F107" s="186">
        <v>1</v>
      </c>
      <c r="G107" s="303">
        <v>29.93</v>
      </c>
      <c r="H107" s="113">
        <f t="shared" si="1"/>
        <v>29.93</v>
      </c>
    </row>
    <row r="108" spans="1:8">
      <c r="A108" s="203">
        <v>104</v>
      </c>
      <c r="B108" s="188" t="s">
        <v>364</v>
      </c>
      <c r="C108" s="189">
        <v>460188</v>
      </c>
      <c r="D108" s="137"/>
      <c r="E108" s="186" t="s">
        <v>336</v>
      </c>
      <c r="F108" s="186">
        <v>18</v>
      </c>
      <c r="G108" s="303">
        <v>144.16999999999999</v>
      </c>
      <c r="H108" s="113">
        <f t="shared" si="1"/>
        <v>2595.06</v>
      </c>
    </row>
    <row r="109" spans="1:8">
      <c r="A109" s="203">
        <v>105</v>
      </c>
      <c r="B109" s="188" t="s">
        <v>365</v>
      </c>
      <c r="C109" s="189">
        <v>459872</v>
      </c>
      <c r="D109" s="137"/>
      <c r="E109" s="186" t="s">
        <v>336</v>
      </c>
      <c r="F109" s="186">
        <v>18</v>
      </c>
      <c r="G109" s="303">
        <v>26.7</v>
      </c>
      <c r="H109" s="113">
        <f t="shared" si="1"/>
        <v>480.6</v>
      </c>
    </row>
    <row r="110" spans="1:8">
      <c r="A110" s="203">
        <v>106</v>
      </c>
      <c r="B110" s="188" t="s">
        <v>366</v>
      </c>
      <c r="C110" s="190">
        <v>229464</v>
      </c>
      <c r="D110" s="137"/>
      <c r="E110" s="186" t="s">
        <v>336</v>
      </c>
      <c r="F110" s="186">
        <v>1</v>
      </c>
      <c r="G110" s="303">
        <v>272.07</v>
      </c>
      <c r="H110" s="113">
        <f t="shared" si="1"/>
        <v>272.07</v>
      </c>
    </row>
    <row r="111" spans="1:8" ht="17.25">
      <c r="A111" s="203">
        <v>107</v>
      </c>
      <c r="B111" s="188" t="s">
        <v>439</v>
      </c>
      <c r="C111" s="190">
        <v>473260</v>
      </c>
      <c r="D111" s="137"/>
      <c r="E111" s="186" t="s">
        <v>360</v>
      </c>
      <c r="F111" s="186">
        <v>18</v>
      </c>
      <c r="G111" s="303">
        <v>8.31</v>
      </c>
      <c r="H111" s="113">
        <f t="shared" si="1"/>
        <v>149.58000000000001</v>
      </c>
    </row>
    <row r="112" spans="1:8" ht="17.25">
      <c r="A112" s="203">
        <v>108</v>
      </c>
      <c r="B112" s="188" t="s">
        <v>440</v>
      </c>
      <c r="C112" s="190">
        <v>473260</v>
      </c>
      <c r="D112" s="137"/>
      <c r="E112" s="186" t="s">
        <v>360</v>
      </c>
      <c r="F112" s="186">
        <v>18</v>
      </c>
      <c r="G112" s="303">
        <v>7.05</v>
      </c>
      <c r="H112" s="113">
        <f t="shared" si="1"/>
        <v>126.9</v>
      </c>
    </row>
    <row r="113" spans="1:8" ht="17.25">
      <c r="A113" s="203">
        <v>109</v>
      </c>
      <c r="B113" s="188" t="s">
        <v>441</v>
      </c>
      <c r="C113" s="190">
        <v>473260</v>
      </c>
      <c r="D113" s="137"/>
      <c r="E113" s="186" t="s">
        <v>360</v>
      </c>
      <c r="F113" s="186">
        <v>18</v>
      </c>
      <c r="G113" s="303">
        <v>22.34</v>
      </c>
      <c r="H113" s="113">
        <f t="shared" si="1"/>
        <v>402.12</v>
      </c>
    </row>
    <row r="114" spans="1:8" ht="17.25">
      <c r="A114" s="203">
        <v>110</v>
      </c>
      <c r="B114" s="188" t="s">
        <v>442</v>
      </c>
      <c r="C114" s="190">
        <v>408492</v>
      </c>
      <c r="D114" s="137">
        <v>994</v>
      </c>
      <c r="E114" s="186" t="s">
        <v>360</v>
      </c>
      <c r="F114" s="186">
        <v>18</v>
      </c>
      <c r="G114" s="303">
        <v>5.61</v>
      </c>
      <c r="H114" s="113">
        <f t="shared" si="1"/>
        <v>100.98</v>
      </c>
    </row>
    <row r="115" spans="1:8">
      <c r="A115" s="203">
        <v>111</v>
      </c>
      <c r="B115" s="188" t="s">
        <v>367</v>
      </c>
      <c r="C115" s="190">
        <v>459876</v>
      </c>
      <c r="D115" s="137"/>
      <c r="E115" s="186" t="s">
        <v>262</v>
      </c>
      <c r="F115" s="186">
        <v>18</v>
      </c>
      <c r="G115" s="303">
        <v>203.4</v>
      </c>
      <c r="H115" s="113">
        <f t="shared" si="1"/>
        <v>3661.2</v>
      </c>
    </row>
    <row r="116" spans="1:8">
      <c r="A116" s="203">
        <v>112</v>
      </c>
      <c r="B116" s="188" t="s">
        <v>368</v>
      </c>
      <c r="C116" s="190">
        <v>459874</v>
      </c>
      <c r="D116" s="137"/>
      <c r="E116" s="186" t="s">
        <v>262</v>
      </c>
      <c r="F116" s="186">
        <v>18</v>
      </c>
      <c r="G116" s="303">
        <v>270.12</v>
      </c>
      <c r="H116" s="113">
        <f t="shared" si="1"/>
        <v>4862.16</v>
      </c>
    </row>
    <row r="117" spans="1:8">
      <c r="A117" s="203">
        <v>113</v>
      </c>
      <c r="B117" s="188" t="s">
        <v>369</v>
      </c>
      <c r="C117" s="190">
        <v>458347</v>
      </c>
      <c r="D117" s="186">
        <v>34709</v>
      </c>
      <c r="E117" s="186" t="s">
        <v>336</v>
      </c>
      <c r="F117" s="186">
        <v>16</v>
      </c>
      <c r="G117" s="303">
        <v>51.62</v>
      </c>
      <c r="H117" s="113">
        <f t="shared" si="1"/>
        <v>825.92</v>
      </c>
    </row>
    <row r="118" spans="1:8">
      <c r="A118" s="203">
        <v>114</v>
      </c>
      <c r="B118" s="188" t="s">
        <v>370</v>
      </c>
      <c r="C118" s="190">
        <v>416362</v>
      </c>
      <c r="D118" s="186">
        <v>34616</v>
      </c>
      <c r="E118" s="186" t="s">
        <v>336</v>
      </c>
      <c r="F118" s="186">
        <v>16</v>
      </c>
      <c r="G118" s="303">
        <v>42.13</v>
      </c>
      <c r="H118" s="113">
        <f t="shared" si="1"/>
        <v>674.08</v>
      </c>
    </row>
    <row r="119" spans="1:8">
      <c r="A119" s="203">
        <v>115</v>
      </c>
      <c r="B119" s="188" t="s">
        <v>371</v>
      </c>
      <c r="C119" s="190">
        <v>416360</v>
      </c>
      <c r="D119" s="203">
        <v>34653</v>
      </c>
      <c r="E119" s="203" t="s">
        <v>336</v>
      </c>
      <c r="F119" s="203">
        <v>16</v>
      </c>
      <c r="G119" s="303">
        <v>7.35</v>
      </c>
      <c r="H119" s="113">
        <f t="shared" si="1"/>
        <v>117.6</v>
      </c>
    </row>
    <row r="120" spans="1:8">
      <c r="A120" s="203">
        <v>116</v>
      </c>
      <c r="B120" s="188" t="s">
        <v>372</v>
      </c>
      <c r="C120" s="190">
        <v>424720</v>
      </c>
      <c r="D120" s="203">
        <v>34709</v>
      </c>
      <c r="E120" s="203" t="s">
        <v>336</v>
      </c>
      <c r="F120" s="203">
        <v>16</v>
      </c>
      <c r="G120" s="303">
        <v>51.62</v>
      </c>
      <c r="H120" s="113">
        <f t="shared" si="1"/>
        <v>825.92</v>
      </c>
    </row>
    <row r="121" spans="1:8">
      <c r="A121" s="203">
        <v>117</v>
      </c>
      <c r="B121" s="188" t="s">
        <v>373</v>
      </c>
      <c r="C121" s="190">
        <v>376214</v>
      </c>
      <c r="D121" s="203">
        <v>34616</v>
      </c>
      <c r="E121" s="203" t="s">
        <v>336</v>
      </c>
      <c r="F121" s="203">
        <v>16</v>
      </c>
      <c r="G121" s="303">
        <v>42.13</v>
      </c>
      <c r="H121" s="113">
        <f t="shared" si="1"/>
        <v>674.08</v>
      </c>
    </row>
    <row r="122" spans="1:8">
      <c r="A122" s="203">
        <v>118</v>
      </c>
      <c r="B122" s="188" t="s">
        <v>374</v>
      </c>
      <c r="C122" s="190">
        <v>416359</v>
      </c>
      <c r="D122" s="203">
        <v>34653</v>
      </c>
      <c r="E122" s="203" t="s">
        <v>336</v>
      </c>
      <c r="F122" s="203">
        <v>16</v>
      </c>
      <c r="G122" s="303">
        <v>7.35</v>
      </c>
      <c r="H122" s="113">
        <f t="shared" si="1"/>
        <v>117.6</v>
      </c>
    </row>
    <row r="123" spans="1:8">
      <c r="A123" s="203">
        <v>119</v>
      </c>
      <c r="B123" s="188" t="s">
        <v>375</v>
      </c>
      <c r="C123" s="190">
        <v>416378</v>
      </c>
      <c r="D123" s="203">
        <v>34709</v>
      </c>
      <c r="E123" s="203" t="s">
        <v>336</v>
      </c>
      <c r="F123" s="203">
        <v>16</v>
      </c>
      <c r="G123" s="303">
        <v>51.62</v>
      </c>
      <c r="H123" s="113">
        <f t="shared" si="1"/>
        <v>825.92</v>
      </c>
    </row>
    <row r="124" spans="1:8">
      <c r="A124" s="203">
        <v>120</v>
      </c>
      <c r="B124" s="188" t="s">
        <v>376</v>
      </c>
      <c r="C124" s="190">
        <v>424723</v>
      </c>
      <c r="D124" s="203">
        <v>34616</v>
      </c>
      <c r="E124" s="203" t="s">
        <v>336</v>
      </c>
      <c r="F124" s="203">
        <v>16</v>
      </c>
      <c r="G124" s="303">
        <v>42.13</v>
      </c>
      <c r="H124" s="113">
        <f t="shared" si="1"/>
        <v>674.08</v>
      </c>
    </row>
    <row r="125" spans="1:8">
      <c r="A125" s="203">
        <v>121</v>
      </c>
      <c r="B125" s="188" t="s">
        <v>377</v>
      </c>
      <c r="C125" s="190">
        <v>424916</v>
      </c>
      <c r="D125" s="203">
        <v>34653</v>
      </c>
      <c r="E125" s="203" t="s">
        <v>336</v>
      </c>
      <c r="F125" s="203">
        <v>16</v>
      </c>
      <c r="G125" s="303">
        <v>7.35</v>
      </c>
      <c r="H125" s="113">
        <f t="shared" si="1"/>
        <v>117.6</v>
      </c>
    </row>
    <row r="126" spans="1:8">
      <c r="A126" s="203">
        <v>122</v>
      </c>
      <c r="B126" s="188" t="s">
        <v>378</v>
      </c>
      <c r="C126" s="190">
        <v>408881</v>
      </c>
      <c r="D126" s="203">
        <v>34709</v>
      </c>
      <c r="E126" s="203" t="s">
        <v>336</v>
      </c>
      <c r="F126" s="203">
        <v>16</v>
      </c>
      <c r="G126" s="303">
        <v>51.62</v>
      </c>
      <c r="H126" s="113">
        <f t="shared" si="1"/>
        <v>825.92</v>
      </c>
    </row>
    <row r="127" spans="1:8">
      <c r="A127" s="203">
        <v>123</v>
      </c>
      <c r="B127" s="188" t="s">
        <v>379</v>
      </c>
      <c r="C127" s="190">
        <v>344909</v>
      </c>
      <c r="D127" s="203">
        <v>34616</v>
      </c>
      <c r="E127" s="203" t="s">
        <v>336</v>
      </c>
      <c r="F127" s="203">
        <v>16</v>
      </c>
      <c r="G127" s="303">
        <v>42.13</v>
      </c>
      <c r="H127" s="113">
        <f t="shared" si="1"/>
        <v>674.08</v>
      </c>
    </row>
    <row r="128" spans="1:8">
      <c r="A128" s="203">
        <v>124</v>
      </c>
      <c r="B128" s="188" t="s">
        <v>380</v>
      </c>
      <c r="C128" s="190">
        <v>408854</v>
      </c>
      <c r="D128" s="203">
        <v>34653</v>
      </c>
      <c r="E128" s="203" t="s">
        <v>336</v>
      </c>
      <c r="F128" s="203">
        <v>16</v>
      </c>
      <c r="G128" s="303">
        <v>7.35</v>
      </c>
      <c r="H128" s="113">
        <f t="shared" si="1"/>
        <v>117.6</v>
      </c>
    </row>
    <row r="129" spans="1:8">
      <c r="A129" s="203">
        <v>125</v>
      </c>
      <c r="B129" s="188" t="s">
        <v>381</v>
      </c>
      <c r="C129" s="190">
        <v>416383</v>
      </c>
      <c r="D129" s="203">
        <v>34709</v>
      </c>
      <c r="E129" s="203" t="s">
        <v>336</v>
      </c>
      <c r="F129" s="203">
        <v>16</v>
      </c>
      <c r="G129" s="303">
        <v>51.62</v>
      </c>
      <c r="H129" s="113">
        <f t="shared" si="1"/>
        <v>825.92</v>
      </c>
    </row>
    <row r="130" spans="1:8">
      <c r="A130" s="203">
        <v>126</v>
      </c>
      <c r="B130" s="188" t="s">
        <v>382</v>
      </c>
      <c r="C130" s="190">
        <v>416365</v>
      </c>
      <c r="D130" s="203">
        <v>34616</v>
      </c>
      <c r="E130" s="203" t="s">
        <v>336</v>
      </c>
      <c r="F130" s="203">
        <v>16</v>
      </c>
      <c r="G130" s="303">
        <v>42.13</v>
      </c>
      <c r="H130" s="113">
        <f t="shared" si="1"/>
        <v>674.08</v>
      </c>
    </row>
    <row r="131" spans="1:8">
      <c r="A131" s="203">
        <v>127</v>
      </c>
      <c r="B131" s="188" t="s">
        <v>383</v>
      </c>
      <c r="C131" s="190">
        <v>408860</v>
      </c>
      <c r="D131" s="203">
        <v>34653</v>
      </c>
      <c r="E131" s="203" t="s">
        <v>336</v>
      </c>
      <c r="F131" s="203">
        <v>16</v>
      </c>
      <c r="G131" s="303">
        <v>7.35</v>
      </c>
      <c r="H131" s="113">
        <f t="shared" si="1"/>
        <v>117.6</v>
      </c>
    </row>
    <row r="132" spans="1:8">
      <c r="A132" s="203">
        <v>128</v>
      </c>
      <c r="B132" s="188" t="s">
        <v>384</v>
      </c>
      <c r="C132" s="190">
        <v>322661</v>
      </c>
      <c r="D132" s="126">
        <v>1612</v>
      </c>
      <c r="E132" s="203" t="s">
        <v>336</v>
      </c>
      <c r="F132" s="203">
        <v>5</v>
      </c>
      <c r="G132" s="303">
        <v>108.78</v>
      </c>
      <c r="H132" s="113">
        <f t="shared" si="1"/>
        <v>543.9</v>
      </c>
    </row>
    <row r="133" spans="1:8">
      <c r="A133" s="203">
        <v>129</v>
      </c>
      <c r="B133" s="188" t="s">
        <v>385</v>
      </c>
      <c r="C133" s="190">
        <v>322661</v>
      </c>
      <c r="D133" s="126">
        <v>1623</v>
      </c>
      <c r="E133" s="203" t="s">
        <v>336</v>
      </c>
      <c r="F133" s="203">
        <v>5</v>
      </c>
      <c r="G133" s="303">
        <v>115.51</v>
      </c>
      <c r="H133" s="113">
        <f t="shared" ref="H133:H179" si="2">ROUND(F133*G133,2)</f>
        <v>577.54999999999995</v>
      </c>
    </row>
    <row r="134" spans="1:8">
      <c r="A134" s="203">
        <v>130</v>
      </c>
      <c r="B134" s="188" t="s">
        <v>386</v>
      </c>
      <c r="C134" s="190">
        <v>322661</v>
      </c>
      <c r="D134" s="126">
        <v>1625</v>
      </c>
      <c r="E134" s="203" t="s">
        <v>336</v>
      </c>
      <c r="F134" s="203">
        <v>5</v>
      </c>
      <c r="G134" s="303">
        <v>141.63999999999999</v>
      </c>
      <c r="H134" s="113">
        <f t="shared" si="2"/>
        <v>708.2</v>
      </c>
    </row>
    <row r="135" spans="1:8">
      <c r="A135" s="203">
        <v>131</v>
      </c>
      <c r="B135" s="188" t="s">
        <v>387</v>
      </c>
      <c r="C135" s="190">
        <v>322661</v>
      </c>
      <c r="D135" s="126">
        <v>1619</v>
      </c>
      <c r="E135" s="203" t="s">
        <v>336</v>
      </c>
      <c r="F135" s="203">
        <v>5</v>
      </c>
      <c r="G135" s="303">
        <v>158.88999999999999</v>
      </c>
      <c r="H135" s="113">
        <f t="shared" si="2"/>
        <v>794.45</v>
      </c>
    </row>
    <row r="136" spans="1:8">
      <c r="A136" s="203">
        <v>132</v>
      </c>
      <c r="B136" s="188" t="s">
        <v>388</v>
      </c>
      <c r="C136" s="190">
        <v>322661</v>
      </c>
      <c r="D136" s="126">
        <v>1614</v>
      </c>
      <c r="E136" s="203" t="s">
        <v>336</v>
      </c>
      <c r="F136" s="203">
        <v>5</v>
      </c>
      <c r="G136" s="303">
        <v>245.92</v>
      </c>
      <c r="H136" s="113">
        <f t="shared" si="2"/>
        <v>1229.5999999999999</v>
      </c>
    </row>
    <row r="137" spans="1:8">
      <c r="A137" s="203">
        <v>133</v>
      </c>
      <c r="B137" s="188" t="s">
        <v>389</v>
      </c>
      <c r="C137" s="190">
        <v>6335</v>
      </c>
      <c r="D137" s="137"/>
      <c r="E137" s="186" t="s">
        <v>336</v>
      </c>
      <c r="F137" s="186">
        <v>18</v>
      </c>
      <c r="G137" s="303">
        <v>264.64999999999998</v>
      </c>
      <c r="H137" s="113">
        <f t="shared" si="2"/>
        <v>4763.7</v>
      </c>
    </row>
    <row r="138" spans="1:8">
      <c r="A138" s="203">
        <v>134</v>
      </c>
      <c r="B138" s="188" t="s">
        <v>390</v>
      </c>
      <c r="C138" s="190">
        <v>469612</v>
      </c>
      <c r="D138" s="137"/>
      <c r="E138" s="186" t="s">
        <v>336</v>
      </c>
      <c r="F138" s="186">
        <v>18</v>
      </c>
      <c r="G138" s="303">
        <v>218</v>
      </c>
      <c r="H138" s="113">
        <f t="shared" si="2"/>
        <v>3924</v>
      </c>
    </row>
    <row r="139" spans="1:8">
      <c r="A139" s="203">
        <v>135</v>
      </c>
      <c r="B139" s="188" t="s">
        <v>391</v>
      </c>
      <c r="C139" s="190">
        <v>460028</v>
      </c>
      <c r="D139" s="137"/>
      <c r="E139" s="186" t="s">
        <v>336</v>
      </c>
      <c r="F139" s="186">
        <v>18</v>
      </c>
      <c r="G139" s="303">
        <v>244.67</v>
      </c>
      <c r="H139" s="113">
        <f t="shared" si="2"/>
        <v>4404.0600000000004</v>
      </c>
    </row>
    <row r="140" spans="1:8">
      <c r="A140" s="203">
        <v>136</v>
      </c>
      <c r="B140" s="188" t="s">
        <v>392</v>
      </c>
      <c r="C140" s="190">
        <v>460058</v>
      </c>
      <c r="D140" s="137"/>
      <c r="E140" s="186" t="s">
        <v>336</v>
      </c>
      <c r="F140" s="186">
        <v>18</v>
      </c>
      <c r="G140" s="303">
        <v>564.02</v>
      </c>
      <c r="H140" s="113">
        <f t="shared" si="2"/>
        <v>10152.36</v>
      </c>
    </row>
    <row r="141" spans="1:8">
      <c r="A141" s="203">
        <v>137</v>
      </c>
      <c r="B141" s="188" t="s">
        <v>393</v>
      </c>
      <c r="C141" s="190">
        <v>150180</v>
      </c>
      <c r="D141" s="137"/>
      <c r="E141" s="186" t="s">
        <v>336</v>
      </c>
      <c r="F141" s="186">
        <v>18</v>
      </c>
      <c r="G141" s="303">
        <v>162.07</v>
      </c>
      <c r="H141" s="113">
        <f t="shared" si="2"/>
        <v>2917.26</v>
      </c>
    </row>
    <row r="142" spans="1:8">
      <c r="A142" s="203">
        <v>138</v>
      </c>
      <c r="B142" s="188" t="s">
        <v>394</v>
      </c>
      <c r="C142" s="190">
        <v>76252</v>
      </c>
      <c r="D142" s="137"/>
      <c r="E142" s="186" t="s">
        <v>336</v>
      </c>
      <c r="F142" s="186">
        <v>18</v>
      </c>
      <c r="G142" s="303">
        <v>15.82</v>
      </c>
      <c r="H142" s="113">
        <f t="shared" si="2"/>
        <v>284.76</v>
      </c>
    </row>
    <row r="143" spans="1:8">
      <c r="A143" s="203">
        <v>139</v>
      </c>
      <c r="B143" s="188" t="s">
        <v>395</v>
      </c>
      <c r="C143" s="190">
        <v>377651</v>
      </c>
      <c r="D143" s="137"/>
      <c r="E143" s="186" t="s">
        <v>264</v>
      </c>
      <c r="F143" s="186">
        <v>3</v>
      </c>
      <c r="G143" s="303">
        <v>386.16</v>
      </c>
      <c r="H143" s="113">
        <f t="shared" si="2"/>
        <v>1158.48</v>
      </c>
    </row>
    <row r="144" spans="1:8">
      <c r="A144" s="203">
        <v>140</v>
      </c>
      <c r="B144" s="188" t="s">
        <v>396</v>
      </c>
      <c r="C144" s="190">
        <v>399615</v>
      </c>
      <c r="D144" s="137"/>
      <c r="E144" s="186" t="s">
        <v>264</v>
      </c>
      <c r="F144" s="186">
        <v>3</v>
      </c>
      <c r="G144" s="303">
        <v>284.47000000000003</v>
      </c>
      <c r="H144" s="113">
        <f t="shared" si="2"/>
        <v>853.41</v>
      </c>
    </row>
    <row r="145" spans="1:8">
      <c r="A145" s="203">
        <v>141</v>
      </c>
      <c r="B145" s="188" t="s">
        <v>397</v>
      </c>
      <c r="C145" s="190">
        <v>461921</v>
      </c>
      <c r="D145" s="137"/>
      <c r="E145" s="186" t="s">
        <v>336</v>
      </c>
      <c r="F145" s="186">
        <v>18</v>
      </c>
      <c r="G145" s="303">
        <v>4.95</v>
      </c>
      <c r="H145" s="113">
        <f t="shared" si="2"/>
        <v>89.1</v>
      </c>
    </row>
    <row r="146" spans="1:8">
      <c r="A146" s="203">
        <v>142</v>
      </c>
      <c r="B146" s="188" t="s">
        <v>398</v>
      </c>
      <c r="C146" s="190">
        <v>398980</v>
      </c>
      <c r="D146" s="137"/>
      <c r="E146" s="186" t="s">
        <v>360</v>
      </c>
      <c r="F146" s="186">
        <v>4</v>
      </c>
      <c r="G146" s="303">
        <v>3.26</v>
      </c>
      <c r="H146" s="113">
        <f t="shared" si="2"/>
        <v>13.04</v>
      </c>
    </row>
    <row r="147" spans="1:8">
      <c r="A147" s="203">
        <v>143</v>
      </c>
      <c r="B147" s="188" t="s">
        <v>399</v>
      </c>
      <c r="C147" s="190">
        <v>461000</v>
      </c>
      <c r="D147" s="137">
        <v>39716</v>
      </c>
      <c r="E147" s="186" t="s">
        <v>360</v>
      </c>
      <c r="F147" s="186">
        <v>4</v>
      </c>
      <c r="G147" s="303">
        <v>1.0900000000000001</v>
      </c>
      <c r="H147" s="113">
        <f t="shared" si="2"/>
        <v>4.3600000000000003</v>
      </c>
    </row>
    <row r="148" spans="1:8">
      <c r="A148" s="203">
        <v>144</v>
      </c>
      <c r="B148" s="188" t="s">
        <v>400</v>
      </c>
      <c r="C148" s="190">
        <v>461002</v>
      </c>
      <c r="D148" s="137">
        <v>39712</v>
      </c>
      <c r="E148" s="186" t="s">
        <v>360</v>
      </c>
      <c r="F148" s="186">
        <v>4</v>
      </c>
      <c r="G148" s="303">
        <v>1.1200000000000001</v>
      </c>
      <c r="H148" s="113">
        <f t="shared" si="2"/>
        <v>4.4800000000000004</v>
      </c>
    </row>
    <row r="149" spans="1:8">
      <c r="A149" s="203">
        <v>145</v>
      </c>
      <c r="B149" s="188" t="s">
        <v>401</v>
      </c>
      <c r="C149" s="190">
        <v>345000</v>
      </c>
      <c r="D149" s="137"/>
      <c r="E149" s="186" t="s">
        <v>360</v>
      </c>
      <c r="F149" s="186">
        <v>4</v>
      </c>
      <c r="G149" s="303">
        <v>3.82</v>
      </c>
      <c r="H149" s="113">
        <f t="shared" si="2"/>
        <v>15.28</v>
      </c>
    </row>
    <row r="150" spans="1:8">
      <c r="A150" s="203">
        <v>146</v>
      </c>
      <c r="B150" s="188" t="s">
        <v>402</v>
      </c>
      <c r="C150" s="190">
        <v>461319</v>
      </c>
      <c r="D150" s="137"/>
      <c r="E150" s="186" t="s">
        <v>360</v>
      </c>
      <c r="F150" s="186">
        <v>18</v>
      </c>
      <c r="G150" s="303">
        <v>4.75</v>
      </c>
      <c r="H150" s="113">
        <f t="shared" si="2"/>
        <v>85.5</v>
      </c>
    </row>
    <row r="151" spans="1:8">
      <c r="A151" s="203">
        <v>147</v>
      </c>
      <c r="B151" s="188" t="s">
        <v>403</v>
      </c>
      <c r="C151" s="190">
        <v>396867</v>
      </c>
      <c r="D151" s="186">
        <v>9867</v>
      </c>
      <c r="E151" s="186" t="s">
        <v>360</v>
      </c>
      <c r="F151" s="186">
        <v>9</v>
      </c>
      <c r="G151" s="303">
        <v>2.77</v>
      </c>
      <c r="H151" s="113">
        <f t="shared" si="2"/>
        <v>24.93</v>
      </c>
    </row>
    <row r="152" spans="1:8">
      <c r="A152" s="203">
        <v>148</v>
      </c>
      <c r="B152" s="188" t="s">
        <v>404</v>
      </c>
      <c r="C152" s="190">
        <v>396865</v>
      </c>
      <c r="D152" s="203">
        <v>9868</v>
      </c>
      <c r="E152" s="203" t="s">
        <v>360</v>
      </c>
      <c r="F152" s="203">
        <v>9</v>
      </c>
      <c r="G152" s="303">
        <v>3.56</v>
      </c>
      <c r="H152" s="113">
        <f t="shared" si="2"/>
        <v>32.04</v>
      </c>
    </row>
    <row r="153" spans="1:8">
      <c r="A153" s="203">
        <v>149</v>
      </c>
      <c r="B153" s="188" t="s">
        <v>405</v>
      </c>
      <c r="C153" s="190">
        <v>365393</v>
      </c>
      <c r="D153" s="203">
        <v>39661</v>
      </c>
      <c r="E153" s="203" t="s">
        <v>360</v>
      </c>
      <c r="F153" s="203">
        <v>5</v>
      </c>
      <c r="G153" s="303">
        <v>9.3000000000000007</v>
      </c>
      <c r="H153" s="113">
        <f t="shared" si="2"/>
        <v>46.5</v>
      </c>
    </row>
    <row r="154" spans="1:8">
      <c r="A154" s="203">
        <v>150</v>
      </c>
      <c r="B154" s="188" t="s">
        <v>406</v>
      </c>
      <c r="C154" s="190">
        <v>289275</v>
      </c>
      <c r="D154" s="203">
        <v>39662</v>
      </c>
      <c r="E154" s="203" t="s">
        <v>360</v>
      </c>
      <c r="F154" s="203">
        <v>5</v>
      </c>
      <c r="G154" s="303">
        <v>13.64</v>
      </c>
      <c r="H154" s="113">
        <f t="shared" si="2"/>
        <v>68.2</v>
      </c>
    </row>
    <row r="155" spans="1:8">
      <c r="A155" s="203">
        <v>151</v>
      </c>
      <c r="B155" s="188" t="s">
        <v>407</v>
      </c>
      <c r="C155" s="190">
        <v>344032</v>
      </c>
      <c r="D155" s="203">
        <v>39663</v>
      </c>
      <c r="E155" s="203" t="s">
        <v>360</v>
      </c>
      <c r="F155" s="203">
        <v>5</v>
      </c>
      <c r="G155" s="303">
        <v>16.77</v>
      </c>
      <c r="H155" s="113">
        <f t="shared" si="2"/>
        <v>83.85</v>
      </c>
    </row>
    <row r="156" spans="1:8">
      <c r="A156" s="203">
        <v>152</v>
      </c>
      <c r="B156" s="188" t="s">
        <v>408</v>
      </c>
      <c r="C156" s="190">
        <v>338624</v>
      </c>
      <c r="D156" s="203">
        <v>39664</v>
      </c>
      <c r="E156" s="203" t="s">
        <v>360</v>
      </c>
      <c r="F156" s="203">
        <v>5</v>
      </c>
      <c r="G156" s="303">
        <v>20.98</v>
      </c>
      <c r="H156" s="113">
        <f t="shared" si="2"/>
        <v>104.9</v>
      </c>
    </row>
    <row r="157" spans="1:8">
      <c r="A157" s="203">
        <v>153</v>
      </c>
      <c r="B157" s="188" t="s">
        <v>409</v>
      </c>
      <c r="C157" s="190">
        <v>344031</v>
      </c>
      <c r="D157" s="203">
        <v>39660</v>
      </c>
      <c r="E157" s="203" t="s">
        <v>360</v>
      </c>
      <c r="F157" s="203">
        <v>5</v>
      </c>
      <c r="G157" s="303">
        <v>28.46</v>
      </c>
      <c r="H157" s="113">
        <f t="shared" si="2"/>
        <v>142.30000000000001</v>
      </c>
    </row>
    <row r="158" spans="1:8">
      <c r="A158" s="203">
        <v>154</v>
      </c>
      <c r="B158" s="188" t="s">
        <v>410</v>
      </c>
      <c r="C158" s="190">
        <v>338625</v>
      </c>
      <c r="D158" s="203">
        <v>39665</v>
      </c>
      <c r="E158" s="203" t="s">
        <v>321</v>
      </c>
      <c r="F158" s="203">
        <v>5</v>
      </c>
      <c r="G158" s="303">
        <v>35.4</v>
      </c>
      <c r="H158" s="113">
        <f t="shared" si="2"/>
        <v>177</v>
      </c>
    </row>
    <row r="159" spans="1:8">
      <c r="A159" s="203">
        <v>155</v>
      </c>
      <c r="B159" s="188" t="s">
        <v>411</v>
      </c>
      <c r="C159" s="190">
        <v>285319</v>
      </c>
      <c r="D159" s="137"/>
      <c r="E159" s="186" t="s">
        <v>336</v>
      </c>
      <c r="F159" s="186">
        <v>6</v>
      </c>
      <c r="G159" s="303">
        <v>9.5</v>
      </c>
      <c r="H159" s="113">
        <f t="shared" si="2"/>
        <v>57</v>
      </c>
    </row>
    <row r="160" spans="1:8">
      <c r="A160" s="203">
        <v>156</v>
      </c>
      <c r="B160" s="188" t="s">
        <v>412</v>
      </c>
      <c r="C160" s="190">
        <v>366096</v>
      </c>
      <c r="D160" s="137"/>
      <c r="E160" s="186" t="s">
        <v>336</v>
      </c>
      <c r="F160" s="186">
        <v>6</v>
      </c>
      <c r="G160" s="303">
        <v>9.83</v>
      </c>
      <c r="H160" s="113">
        <f t="shared" si="2"/>
        <v>58.98</v>
      </c>
    </row>
    <row r="161" spans="1:8">
      <c r="A161" s="203">
        <v>157</v>
      </c>
      <c r="B161" s="188" t="s">
        <v>413</v>
      </c>
      <c r="C161" s="190">
        <v>338628</v>
      </c>
      <c r="D161" s="137"/>
      <c r="E161" s="186" t="s">
        <v>336</v>
      </c>
      <c r="F161" s="186">
        <v>6</v>
      </c>
      <c r="G161" s="303">
        <v>16.489999999999998</v>
      </c>
      <c r="H161" s="113">
        <f t="shared" si="2"/>
        <v>98.94</v>
      </c>
    </row>
    <row r="162" spans="1:8">
      <c r="A162" s="203">
        <v>158</v>
      </c>
      <c r="B162" s="188" t="s">
        <v>414</v>
      </c>
      <c r="C162" s="190">
        <v>348490</v>
      </c>
      <c r="D162" s="137"/>
      <c r="E162" s="186" t="s">
        <v>336</v>
      </c>
      <c r="F162" s="186">
        <v>9</v>
      </c>
      <c r="G162" s="303">
        <v>4.74</v>
      </c>
      <c r="H162" s="113">
        <f t="shared" si="2"/>
        <v>42.66</v>
      </c>
    </row>
    <row r="163" spans="1:8">
      <c r="A163" s="203">
        <v>159</v>
      </c>
      <c r="B163" s="188" t="s">
        <v>415</v>
      </c>
      <c r="C163" s="190">
        <v>348507</v>
      </c>
      <c r="D163" s="137"/>
      <c r="E163" s="186" t="s">
        <v>336</v>
      </c>
      <c r="F163" s="186">
        <v>9</v>
      </c>
      <c r="G163" s="303">
        <v>13.67</v>
      </c>
      <c r="H163" s="113">
        <f t="shared" si="2"/>
        <v>123.03</v>
      </c>
    </row>
    <row r="164" spans="1:8">
      <c r="A164" s="203">
        <v>160</v>
      </c>
      <c r="B164" s="191" t="s">
        <v>416</v>
      </c>
      <c r="C164" s="190">
        <v>446589</v>
      </c>
      <c r="D164" s="137">
        <v>11976</v>
      </c>
      <c r="E164" s="186" t="s">
        <v>336</v>
      </c>
      <c r="F164" s="186">
        <v>5</v>
      </c>
      <c r="G164" s="303">
        <v>0.55000000000000004</v>
      </c>
      <c r="H164" s="113">
        <f t="shared" si="2"/>
        <v>2.75</v>
      </c>
    </row>
    <row r="165" spans="1:8">
      <c r="A165" s="203">
        <v>161</v>
      </c>
      <c r="B165" s="191" t="s">
        <v>417</v>
      </c>
      <c r="C165" s="190">
        <v>460774</v>
      </c>
      <c r="D165" s="137"/>
      <c r="E165" s="186" t="s">
        <v>336</v>
      </c>
      <c r="F165" s="186">
        <v>5</v>
      </c>
      <c r="G165" s="303">
        <v>3.09</v>
      </c>
      <c r="H165" s="113">
        <f t="shared" si="2"/>
        <v>15.45</v>
      </c>
    </row>
    <row r="166" spans="1:8">
      <c r="A166" s="203">
        <v>162</v>
      </c>
      <c r="B166" s="191" t="s">
        <v>418</v>
      </c>
      <c r="C166" s="190">
        <v>446592</v>
      </c>
      <c r="D166" s="137">
        <v>11964</v>
      </c>
      <c r="E166" s="186" t="s">
        <v>336</v>
      </c>
      <c r="F166" s="186">
        <v>5</v>
      </c>
      <c r="G166" s="303">
        <v>1.1000000000000001</v>
      </c>
      <c r="H166" s="113">
        <f t="shared" si="2"/>
        <v>5.5</v>
      </c>
    </row>
    <row r="167" spans="1:8">
      <c r="A167" s="203">
        <v>163</v>
      </c>
      <c r="B167" s="191" t="s">
        <v>419</v>
      </c>
      <c r="C167" s="190">
        <v>377434</v>
      </c>
      <c r="D167" s="137">
        <v>11963</v>
      </c>
      <c r="E167" s="186" t="s">
        <v>336</v>
      </c>
      <c r="F167" s="186">
        <v>5</v>
      </c>
      <c r="G167" s="303">
        <v>4.37</v>
      </c>
      <c r="H167" s="113">
        <f t="shared" si="2"/>
        <v>21.85</v>
      </c>
    </row>
    <row r="168" spans="1:8">
      <c r="A168" s="203">
        <v>164</v>
      </c>
      <c r="B168" s="188" t="s">
        <v>420</v>
      </c>
      <c r="C168" s="190">
        <v>352445</v>
      </c>
      <c r="D168" s="137"/>
      <c r="E168" s="186" t="s">
        <v>336</v>
      </c>
      <c r="F168" s="186">
        <v>4</v>
      </c>
      <c r="G168" s="303">
        <v>35.17</v>
      </c>
      <c r="H168" s="113">
        <f t="shared" si="2"/>
        <v>140.68</v>
      </c>
    </row>
    <row r="169" spans="1:8">
      <c r="A169" s="203">
        <v>165</v>
      </c>
      <c r="B169" s="188" t="s">
        <v>421</v>
      </c>
      <c r="C169" s="190">
        <v>441167</v>
      </c>
      <c r="D169" s="137"/>
      <c r="E169" s="186" t="s">
        <v>336</v>
      </c>
      <c r="F169" s="186">
        <v>4</v>
      </c>
      <c r="G169" s="303">
        <v>57.04</v>
      </c>
      <c r="H169" s="113">
        <f t="shared" si="2"/>
        <v>228.16</v>
      </c>
    </row>
    <row r="170" spans="1:8">
      <c r="A170" s="203">
        <v>166</v>
      </c>
      <c r="B170" s="188" t="s">
        <v>422</v>
      </c>
      <c r="C170" s="190">
        <v>352444</v>
      </c>
      <c r="D170" s="137"/>
      <c r="E170" s="186" t="s">
        <v>336</v>
      </c>
      <c r="F170" s="186">
        <v>4</v>
      </c>
      <c r="G170" s="303">
        <v>57.04</v>
      </c>
      <c r="H170" s="113">
        <f t="shared" si="2"/>
        <v>228.16</v>
      </c>
    </row>
    <row r="171" spans="1:8">
      <c r="A171" s="203">
        <v>167</v>
      </c>
      <c r="B171" s="188" t="s">
        <v>423</v>
      </c>
      <c r="C171" s="190">
        <v>441168</v>
      </c>
      <c r="D171" s="137"/>
      <c r="E171" s="186" t="s">
        <v>336</v>
      </c>
      <c r="F171" s="186">
        <v>4</v>
      </c>
      <c r="G171" s="303">
        <v>98.03</v>
      </c>
      <c r="H171" s="113">
        <f t="shared" si="2"/>
        <v>392.12</v>
      </c>
    </row>
    <row r="172" spans="1:8">
      <c r="A172" s="203">
        <v>168</v>
      </c>
      <c r="B172" s="188" t="s">
        <v>424</v>
      </c>
      <c r="C172" s="190">
        <v>440570</v>
      </c>
      <c r="D172" s="137"/>
      <c r="E172" s="186" t="s">
        <v>336</v>
      </c>
      <c r="F172" s="186">
        <v>4</v>
      </c>
      <c r="G172" s="303">
        <v>78.650000000000006</v>
      </c>
      <c r="H172" s="113">
        <f t="shared" si="2"/>
        <v>314.60000000000002</v>
      </c>
    </row>
    <row r="173" spans="1:8">
      <c r="A173" s="203">
        <v>169</v>
      </c>
      <c r="B173" s="188" t="s">
        <v>425</v>
      </c>
      <c r="C173" s="190">
        <v>469251</v>
      </c>
      <c r="D173" s="137"/>
      <c r="E173" s="186" t="s">
        <v>426</v>
      </c>
      <c r="F173" s="186">
        <v>12</v>
      </c>
      <c r="G173" s="303">
        <v>19.559999999999999</v>
      </c>
      <c r="H173" s="113">
        <f t="shared" si="2"/>
        <v>234.72</v>
      </c>
    </row>
    <row r="174" spans="1:8">
      <c r="A174" s="203">
        <v>170</v>
      </c>
      <c r="B174" s="188" t="s">
        <v>427</v>
      </c>
      <c r="C174" s="190">
        <v>150919</v>
      </c>
      <c r="D174" s="137">
        <v>10481</v>
      </c>
      <c r="E174" s="186" t="s">
        <v>334</v>
      </c>
      <c r="F174" s="186">
        <v>12</v>
      </c>
      <c r="G174" s="303">
        <v>27.98</v>
      </c>
      <c r="H174" s="113">
        <f t="shared" si="2"/>
        <v>335.76</v>
      </c>
    </row>
    <row r="175" spans="1:8">
      <c r="A175" s="203">
        <v>171</v>
      </c>
      <c r="B175" s="188" t="s">
        <v>428</v>
      </c>
      <c r="C175" s="190">
        <v>454883</v>
      </c>
      <c r="D175" s="137">
        <v>11174</v>
      </c>
      <c r="E175" s="186" t="s">
        <v>429</v>
      </c>
      <c r="F175" s="186">
        <v>1</v>
      </c>
      <c r="G175" s="303">
        <v>604.11</v>
      </c>
      <c r="H175" s="113">
        <f t="shared" si="2"/>
        <v>604.11</v>
      </c>
    </row>
    <row r="176" spans="1:8">
      <c r="A176" s="203">
        <v>172</v>
      </c>
      <c r="B176" s="188" t="s">
        <v>432</v>
      </c>
      <c r="C176" s="190">
        <v>128511</v>
      </c>
      <c r="D176" s="137"/>
      <c r="E176" s="186" t="s">
        <v>433</v>
      </c>
      <c r="F176" s="186">
        <v>12</v>
      </c>
      <c r="G176" s="303">
        <v>19.329999999999998</v>
      </c>
      <c r="H176" s="113">
        <f t="shared" si="2"/>
        <v>231.96</v>
      </c>
    </row>
    <row r="177" spans="1:10">
      <c r="A177" s="203">
        <v>173</v>
      </c>
      <c r="B177" s="188" t="s">
        <v>436</v>
      </c>
      <c r="C177" s="190">
        <v>405276</v>
      </c>
      <c r="D177" s="137"/>
      <c r="E177" s="186" t="s">
        <v>437</v>
      </c>
      <c r="F177" s="186">
        <v>12</v>
      </c>
      <c r="G177" s="303">
        <v>4.5</v>
      </c>
      <c r="H177" s="113">
        <f t="shared" si="2"/>
        <v>54</v>
      </c>
    </row>
    <row r="178" spans="1:10">
      <c r="A178" s="203">
        <v>174</v>
      </c>
      <c r="B178" s="188" t="s">
        <v>750</v>
      </c>
      <c r="C178" s="190">
        <v>218308</v>
      </c>
      <c r="D178" s="137">
        <v>38128</v>
      </c>
      <c r="E178" s="186" t="s">
        <v>340</v>
      </c>
      <c r="F178" s="186">
        <v>640</v>
      </c>
      <c r="G178" s="303">
        <v>0.5</v>
      </c>
      <c r="H178" s="113">
        <f t="shared" si="2"/>
        <v>320</v>
      </c>
    </row>
    <row r="179" spans="1:10" ht="45">
      <c r="A179" s="203">
        <v>175</v>
      </c>
      <c r="B179" s="188" t="s">
        <v>879</v>
      </c>
      <c r="C179" s="190">
        <v>461266</v>
      </c>
      <c r="D179" s="137"/>
      <c r="E179" s="186" t="s">
        <v>880</v>
      </c>
      <c r="F179" s="186">
        <v>148.75</v>
      </c>
      <c r="G179" s="303">
        <v>203.48</v>
      </c>
      <c r="H179" s="113">
        <f t="shared" si="2"/>
        <v>30267.65</v>
      </c>
      <c r="J179" s="129"/>
    </row>
    <row r="180" spans="1:10">
      <c r="A180" s="639" t="s">
        <v>771</v>
      </c>
      <c r="B180" s="639"/>
      <c r="C180" s="639"/>
      <c r="D180" s="639"/>
      <c r="E180" s="639"/>
      <c r="F180" s="639"/>
      <c r="G180" s="639"/>
      <c r="H180" s="193">
        <f>SUM(H5:H179)</f>
        <v>346219.80999999959</v>
      </c>
    </row>
    <row r="181" spans="1:10">
      <c r="A181" s="617" t="s">
        <v>752</v>
      </c>
      <c r="B181" s="618"/>
      <c r="C181" s="618"/>
      <c r="D181" s="618"/>
      <c r="E181" s="618"/>
      <c r="F181" s="619"/>
      <c r="G181" s="220">
        <f>'4.3 e 5.3'!C10</f>
        <v>0.10890619719771633</v>
      </c>
      <c r="H181" s="192">
        <f>ROUND(H180*G181,2)</f>
        <v>37705.480000000003</v>
      </c>
    </row>
    <row r="182" spans="1:10">
      <c r="A182" s="598" t="s">
        <v>767</v>
      </c>
      <c r="B182" s="598"/>
      <c r="C182" s="598"/>
      <c r="D182" s="598"/>
      <c r="E182" s="598"/>
      <c r="F182" s="598"/>
      <c r="G182" s="598"/>
      <c r="H182" s="236">
        <f>H180+H181</f>
        <v>383925.28999999957</v>
      </c>
    </row>
    <row r="183" spans="1:10">
      <c r="A183" s="157"/>
      <c r="B183" s="157"/>
      <c r="C183" s="157"/>
      <c r="D183" s="157"/>
      <c r="E183" s="157"/>
      <c r="F183" s="157"/>
      <c r="G183" s="157"/>
      <c r="H183" s="158"/>
    </row>
    <row r="184" spans="1:10">
      <c r="A184" s="157"/>
      <c r="B184" s="157"/>
      <c r="C184" s="157"/>
      <c r="D184" s="157"/>
      <c r="E184" s="157"/>
      <c r="F184" s="157"/>
      <c r="G184" s="157"/>
      <c r="H184" s="194"/>
    </row>
    <row r="185" spans="1:10">
      <c r="A185" s="593" t="s">
        <v>763</v>
      </c>
      <c r="B185" s="593"/>
      <c r="C185" s="593"/>
      <c r="D185" s="593"/>
      <c r="E185" s="593"/>
      <c r="F185" s="593"/>
      <c r="G185" s="593"/>
      <c r="H185" s="593"/>
    </row>
    <row r="186" spans="1:10">
      <c r="A186" s="593" t="s">
        <v>818</v>
      </c>
      <c r="B186" s="593"/>
      <c r="C186" s="593"/>
      <c r="D186" s="593"/>
      <c r="E186" s="593"/>
      <c r="F186" s="593"/>
      <c r="G186" s="593"/>
      <c r="H186" s="593"/>
    </row>
  </sheetData>
  <sheetProtection algorithmName="SHA-512" hashValue="Zjt0BbNk8MzsG82kWuyQXFaxE1lkez+d43pONfnNTfKNZZQmuaRS5X5A6afmJcypxBS5mOofWE05I52Jff+32A==" saltValue="XIYIgrtmVR/RBhBStM0yHA==" spinCount="100000" sheet="1" selectLockedCells="1"/>
  <mergeCells count="14">
    <mergeCell ref="A185:H185"/>
    <mergeCell ref="A182:G182"/>
    <mergeCell ref="A181:F181"/>
    <mergeCell ref="A186:H186"/>
    <mergeCell ref="A1:H1"/>
    <mergeCell ref="G2:G4"/>
    <mergeCell ref="H2:H4"/>
    <mergeCell ref="A180:G180"/>
    <mergeCell ref="A2:A4"/>
    <mergeCell ref="B2:B4"/>
    <mergeCell ref="C2:C4"/>
    <mergeCell ref="D2:D4"/>
    <mergeCell ref="E2:E4"/>
    <mergeCell ref="F2:F4"/>
  </mergeCells>
  <pageMargins left="0.51181102362204722" right="0.51181102362204722" top="0.78740157480314965" bottom="0.78740157480314965" header="0.31496062992125984" footer="0.31496062992125984"/>
  <pageSetup paperSize="9" fitToHeight="0" orientation="landscape" r:id="rId1"/>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C15"/>
  <sheetViews>
    <sheetView tabSelected="1" workbookViewId="0">
      <selection activeCell="C5" sqref="C5"/>
    </sheetView>
  </sheetViews>
  <sheetFormatPr defaultColWidth="9.140625" defaultRowHeight="15"/>
  <cols>
    <col min="1" max="1" width="9.140625" style="110"/>
    <col min="2" max="2" width="41.5703125" style="110" customWidth="1"/>
    <col min="3" max="3" width="24" style="110" customWidth="1"/>
    <col min="4" max="16384" width="9.140625" style="110"/>
  </cols>
  <sheetData>
    <row r="1" spans="1:3">
      <c r="A1" s="636" t="s">
        <v>768</v>
      </c>
      <c r="B1" s="636"/>
      <c r="C1" s="636"/>
    </row>
    <row r="2" spans="1:3">
      <c r="A2" s="204" t="s">
        <v>1</v>
      </c>
      <c r="B2" s="112" t="s">
        <v>753</v>
      </c>
      <c r="C2" s="302">
        <v>1.4999999999999999E-2</v>
      </c>
    </row>
    <row r="3" spans="1:3">
      <c r="A3" s="204" t="s">
        <v>3</v>
      </c>
      <c r="B3" s="112" t="s">
        <v>754</v>
      </c>
      <c r="C3" s="302">
        <v>3.0000000000000001E-3</v>
      </c>
    </row>
    <row r="4" spans="1:3">
      <c r="A4" s="204" t="s">
        <v>5</v>
      </c>
      <c r="B4" s="112" t="s">
        <v>755</v>
      </c>
      <c r="C4" s="302">
        <v>8.5000000000000006E-3</v>
      </c>
    </row>
    <row r="5" spans="1:3">
      <c r="A5" s="204" t="s">
        <v>6</v>
      </c>
      <c r="B5" s="112" t="s">
        <v>756</v>
      </c>
      <c r="C5" s="302">
        <v>5.5999999999999999E-3</v>
      </c>
    </row>
    <row r="6" spans="1:3">
      <c r="A6" s="204" t="s">
        <v>8</v>
      </c>
      <c r="B6" s="112" t="s">
        <v>757</v>
      </c>
      <c r="C6" s="302">
        <v>3.5000000000000003E-2</v>
      </c>
    </row>
    <row r="7" spans="1:3">
      <c r="A7" s="204" t="s">
        <v>10</v>
      </c>
      <c r="B7" s="112" t="s">
        <v>758</v>
      </c>
      <c r="C7" s="302">
        <v>0</v>
      </c>
    </row>
    <row r="8" spans="1:3">
      <c r="A8" s="204" t="s">
        <v>11</v>
      </c>
      <c r="B8" s="112" t="s">
        <v>60</v>
      </c>
      <c r="C8" s="302">
        <v>6.4999999999999997E-3</v>
      </c>
    </row>
    <row r="9" spans="1:3">
      <c r="A9" s="204" t="s">
        <v>12</v>
      </c>
      <c r="B9" s="112" t="s">
        <v>61</v>
      </c>
      <c r="C9" s="302">
        <v>0.03</v>
      </c>
    </row>
    <row r="10" spans="1:3">
      <c r="A10" s="637" t="s">
        <v>759</v>
      </c>
      <c r="B10" s="637"/>
      <c r="C10" s="205">
        <f>((1+C2+C3+C5)*(1+C4)*(1+C6)/(1-(C7+C8+C9))-1)</f>
        <v>0.10890619719771633</v>
      </c>
    </row>
    <row r="11" spans="1:3">
      <c r="A11" s="206"/>
      <c r="B11" s="206"/>
      <c r="C11" s="207"/>
    </row>
    <row r="12" spans="1:3">
      <c r="A12" s="218" t="s">
        <v>766</v>
      </c>
      <c r="B12" s="206"/>
      <c r="C12" s="207"/>
    </row>
    <row r="13" spans="1:3">
      <c r="A13" s="206"/>
      <c r="B13" s="206"/>
      <c r="C13" s="207"/>
    </row>
    <row r="15" spans="1:3">
      <c r="A15" s="593" t="s">
        <v>761</v>
      </c>
      <c r="B15" s="593"/>
      <c r="C15" s="593"/>
    </row>
  </sheetData>
  <sheetProtection algorithmName="SHA-512" hashValue="jXzj9T834/CfrpzoU/iBNSEJlZ1IFU23VUFwDhNztumIKefvh1GGiVih6NgwpQDsDHtIH/N8ve7LZ09OaPatOw==" saltValue="REsV3NvXmsQkuDbziGCz9g==" spinCount="100000" sheet="1" objects="1" scenarios="1" selectLockedCells="1"/>
  <mergeCells count="3">
    <mergeCell ref="A1:C1"/>
    <mergeCell ref="A10:B10"/>
    <mergeCell ref="A15:C15"/>
  </mergeCells>
  <printOptions horizontalCentered="1"/>
  <pageMargins left="0.51181102362204722" right="0.51181102362204722" top="0.78740157480314965" bottom="0.78740157480314965"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sheetPr>
    <pageSetUpPr fitToPage="1"/>
  </sheetPr>
  <dimension ref="A1:J50"/>
  <sheetViews>
    <sheetView topLeftCell="A25" workbookViewId="0">
      <selection activeCell="I8" sqref="I8"/>
    </sheetView>
  </sheetViews>
  <sheetFormatPr defaultColWidth="9.140625" defaultRowHeight="15"/>
  <cols>
    <col min="1" max="1" width="24.5703125" style="110" customWidth="1"/>
    <col min="2" max="2" width="15" style="110" customWidth="1"/>
    <col min="3" max="3" width="11.28515625" style="110" customWidth="1"/>
    <col min="4" max="4" width="16" style="110" customWidth="1"/>
    <col min="5" max="5" width="14.42578125" style="110" customWidth="1"/>
    <col min="6" max="6" width="14.5703125" style="110" customWidth="1"/>
    <col min="7" max="7" width="8.7109375" style="110" customWidth="1"/>
    <col min="8" max="8" width="11" style="110" customWidth="1"/>
    <col min="9" max="9" width="13.7109375" style="110" customWidth="1"/>
    <col min="10" max="10" width="10.7109375" style="110" customWidth="1"/>
    <col min="11" max="16384" width="9.140625" style="110"/>
  </cols>
  <sheetData>
    <row r="1" spans="1:10">
      <c r="A1" s="641" t="s">
        <v>795</v>
      </c>
      <c r="B1" s="641"/>
      <c r="C1" s="641"/>
      <c r="D1" s="641"/>
      <c r="E1" s="641"/>
      <c r="F1" s="641"/>
    </row>
    <row r="2" spans="1:10" ht="40.5" customHeight="1">
      <c r="A2" s="285" t="s">
        <v>159</v>
      </c>
      <c r="B2" s="285" t="s">
        <v>796</v>
      </c>
      <c r="C2" s="286" t="s">
        <v>797</v>
      </c>
      <c r="D2" s="287" t="s">
        <v>798</v>
      </c>
      <c r="E2" s="287" t="s">
        <v>799</v>
      </c>
      <c r="F2" s="287" t="s">
        <v>800</v>
      </c>
      <c r="H2" s="287" t="s">
        <v>796</v>
      </c>
      <c r="I2" s="287" t="s">
        <v>801</v>
      </c>
      <c r="J2" s="287" t="s">
        <v>802</v>
      </c>
    </row>
    <row r="3" spans="1:10">
      <c r="A3" s="642" t="s">
        <v>803</v>
      </c>
      <c r="B3" s="288" t="s">
        <v>804</v>
      </c>
      <c r="C3" s="288">
        <v>19</v>
      </c>
      <c r="D3" s="289">
        <f t="shared" ref="D3:D38" si="0">IFERROR(VLOOKUP($B3,TabelaValores,2,FALSE),"-")</f>
        <v>26.31</v>
      </c>
      <c r="E3" s="289">
        <f t="shared" ref="E3:E38" si="1">IFERROR(VLOOKUP($B3,TabelaValores,3,FALSE),"-")</f>
        <v>1</v>
      </c>
      <c r="F3" s="290">
        <f>IFERROR((E3+D3)*C3,"-")</f>
        <v>518.89</v>
      </c>
      <c r="H3" s="288" t="s">
        <v>804</v>
      </c>
      <c r="I3" s="301">
        <v>26.31</v>
      </c>
      <c r="J3" s="301">
        <v>1</v>
      </c>
    </row>
    <row r="4" spans="1:10">
      <c r="A4" s="642"/>
      <c r="B4" s="288" t="s">
        <v>805</v>
      </c>
      <c r="C4" s="288">
        <v>41</v>
      </c>
      <c r="D4" s="289">
        <f t="shared" si="0"/>
        <v>48</v>
      </c>
      <c r="E4" s="289">
        <f t="shared" si="1"/>
        <v>9.99</v>
      </c>
      <c r="F4" s="290">
        <f>IFERROR((E4+D4)*C4,"-")</f>
        <v>2377.59</v>
      </c>
      <c r="H4" s="288" t="s">
        <v>805</v>
      </c>
      <c r="I4" s="301">
        <v>48</v>
      </c>
      <c r="J4" s="301">
        <v>9.99</v>
      </c>
    </row>
    <row r="5" spans="1:10">
      <c r="A5" s="642"/>
      <c r="B5" s="288" t="s">
        <v>806</v>
      </c>
      <c r="C5" s="288">
        <v>5</v>
      </c>
      <c r="D5" s="289">
        <f t="shared" si="0"/>
        <v>41.79</v>
      </c>
      <c r="E5" s="289">
        <f t="shared" si="1"/>
        <v>1</v>
      </c>
      <c r="F5" s="290">
        <f t="shared" ref="F5:F38" si="2">IFERROR((E5+D5)*C5,"-")</f>
        <v>213.95</v>
      </c>
      <c r="H5" s="288" t="s">
        <v>806</v>
      </c>
      <c r="I5" s="301">
        <v>41.79</v>
      </c>
      <c r="J5" s="301">
        <v>1</v>
      </c>
    </row>
    <row r="6" spans="1:10">
      <c r="A6" s="642"/>
      <c r="B6" s="288" t="s">
        <v>807</v>
      </c>
      <c r="C6" s="288">
        <v>2</v>
      </c>
      <c r="D6" s="289">
        <f t="shared" si="0"/>
        <v>58.62</v>
      </c>
      <c r="E6" s="289">
        <f t="shared" si="1"/>
        <v>2</v>
      </c>
      <c r="F6" s="290">
        <f t="shared" si="2"/>
        <v>121.24</v>
      </c>
      <c r="H6" s="288" t="s">
        <v>807</v>
      </c>
      <c r="I6" s="301">
        <v>58.62</v>
      </c>
      <c r="J6" s="301">
        <v>2</v>
      </c>
    </row>
    <row r="7" spans="1:10">
      <c r="A7" s="642" t="s">
        <v>808</v>
      </c>
      <c r="B7" s="288" t="s">
        <v>804</v>
      </c>
      <c r="C7" s="288">
        <v>13</v>
      </c>
      <c r="D7" s="289">
        <f t="shared" si="0"/>
        <v>26.31</v>
      </c>
      <c r="E7" s="289">
        <f t="shared" si="1"/>
        <v>1</v>
      </c>
      <c r="F7" s="290">
        <f t="shared" si="2"/>
        <v>355.03</v>
      </c>
      <c r="H7" s="288" t="s">
        <v>809</v>
      </c>
      <c r="I7" s="301">
        <v>115.8</v>
      </c>
      <c r="J7" s="301">
        <v>6</v>
      </c>
    </row>
    <row r="8" spans="1:10">
      <c r="A8" s="642"/>
      <c r="B8" s="288" t="s">
        <v>805</v>
      </c>
      <c r="C8" s="288">
        <v>6</v>
      </c>
      <c r="D8" s="289">
        <f t="shared" si="0"/>
        <v>48</v>
      </c>
      <c r="E8" s="289">
        <f t="shared" si="1"/>
        <v>9.99</v>
      </c>
      <c r="F8" s="290">
        <f t="shared" si="2"/>
        <v>347.94</v>
      </c>
      <c r="H8" s="291" t="s">
        <v>810</v>
      </c>
      <c r="I8" s="301">
        <v>30</v>
      </c>
      <c r="J8" s="301">
        <v>0.5</v>
      </c>
    </row>
    <row r="9" spans="1:10">
      <c r="A9" s="642"/>
      <c r="B9" s="288" t="s">
        <v>806</v>
      </c>
      <c r="C9" s="288">
        <v>5</v>
      </c>
      <c r="D9" s="289">
        <f t="shared" si="0"/>
        <v>41.79</v>
      </c>
      <c r="E9" s="289">
        <f t="shared" si="1"/>
        <v>1</v>
      </c>
      <c r="F9" s="290">
        <f t="shared" si="2"/>
        <v>213.95</v>
      </c>
    </row>
    <row r="10" spans="1:10">
      <c r="A10" s="642"/>
      <c r="B10" s="288" t="s">
        <v>810</v>
      </c>
      <c r="C10" s="288">
        <v>9</v>
      </c>
      <c r="D10" s="289">
        <f t="shared" si="0"/>
        <v>30</v>
      </c>
      <c r="E10" s="289">
        <f t="shared" si="1"/>
        <v>0.5</v>
      </c>
      <c r="F10" s="290">
        <f t="shared" si="2"/>
        <v>274.5</v>
      </c>
    </row>
    <row r="11" spans="1:10">
      <c r="A11" s="642" t="s">
        <v>744</v>
      </c>
      <c r="B11" s="288" t="s">
        <v>805</v>
      </c>
      <c r="C11" s="288">
        <v>1</v>
      </c>
      <c r="D11" s="289">
        <f t="shared" si="0"/>
        <v>48</v>
      </c>
      <c r="E11" s="289">
        <f t="shared" si="1"/>
        <v>9.99</v>
      </c>
      <c r="F11" s="290">
        <f t="shared" si="2"/>
        <v>57.99</v>
      </c>
    </row>
    <row r="12" spans="1:10">
      <c r="A12" s="642"/>
      <c r="B12" s="288" t="s">
        <v>809</v>
      </c>
      <c r="C12" s="288">
        <v>1</v>
      </c>
      <c r="D12" s="289">
        <f t="shared" si="0"/>
        <v>115.8</v>
      </c>
      <c r="E12" s="289">
        <f t="shared" si="1"/>
        <v>6</v>
      </c>
      <c r="F12" s="290">
        <f t="shared" si="2"/>
        <v>121.8</v>
      </c>
    </row>
    <row r="13" spans="1:10">
      <c r="A13" s="292" t="s">
        <v>726</v>
      </c>
      <c r="B13" s="288" t="s">
        <v>809</v>
      </c>
      <c r="C13" s="288">
        <v>2</v>
      </c>
      <c r="D13" s="289">
        <f t="shared" si="0"/>
        <v>115.8</v>
      </c>
      <c r="E13" s="289">
        <f t="shared" si="1"/>
        <v>6</v>
      </c>
      <c r="F13" s="290">
        <f t="shared" si="2"/>
        <v>243.6</v>
      </c>
    </row>
    <row r="14" spans="1:10">
      <c r="A14" s="642" t="s">
        <v>724</v>
      </c>
      <c r="B14" s="288" t="s">
        <v>805</v>
      </c>
      <c r="C14" s="288">
        <v>1</v>
      </c>
      <c r="D14" s="289">
        <f t="shared" si="0"/>
        <v>48</v>
      </c>
      <c r="E14" s="289">
        <f t="shared" si="1"/>
        <v>9.99</v>
      </c>
      <c r="F14" s="290">
        <f t="shared" si="2"/>
        <v>57.99</v>
      </c>
    </row>
    <row r="15" spans="1:10">
      <c r="A15" s="642"/>
      <c r="B15" s="288" t="s">
        <v>809</v>
      </c>
      <c r="C15" s="288">
        <v>1</v>
      </c>
      <c r="D15" s="289">
        <f t="shared" si="0"/>
        <v>115.8</v>
      </c>
      <c r="E15" s="289">
        <f t="shared" si="1"/>
        <v>6</v>
      </c>
      <c r="F15" s="290">
        <f t="shared" si="2"/>
        <v>121.8</v>
      </c>
    </row>
    <row r="16" spans="1:10">
      <c r="A16" s="642" t="s">
        <v>725</v>
      </c>
      <c r="B16" s="293" t="s">
        <v>804</v>
      </c>
      <c r="C16" s="288">
        <v>2</v>
      </c>
      <c r="D16" s="289">
        <f t="shared" si="0"/>
        <v>26.31</v>
      </c>
      <c r="E16" s="289">
        <f t="shared" si="1"/>
        <v>1</v>
      </c>
      <c r="F16" s="290">
        <f t="shared" si="2"/>
        <v>54.62</v>
      </c>
    </row>
    <row r="17" spans="1:6">
      <c r="A17" s="642"/>
      <c r="B17" s="293" t="s">
        <v>810</v>
      </c>
      <c r="C17" s="288">
        <v>2</v>
      </c>
      <c r="D17" s="289">
        <f t="shared" si="0"/>
        <v>30</v>
      </c>
      <c r="E17" s="289">
        <f t="shared" si="1"/>
        <v>0.5</v>
      </c>
      <c r="F17" s="290">
        <f t="shared" si="2"/>
        <v>61</v>
      </c>
    </row>
    <row r="18" spans="1:6">
      <c r="A18" s="642" t="s">
        <v>745</v>
      </c>
      <c r="B18" s="288" t="s">
        <v>805</v>
      </c>
      <c r="C18" s="288">
        <v>0</v>
      </c>
      <c r="D18" s="289">
        <f t="shared" si="0"/>
        <v>48</v>
      </c>
      <c r="E18" s="289">
        <f t="shared" si="1"/>
        <v>9.99</v>
      </c>
      <c r="F18" s="290">
        <f t="shared" si="2"/>
        <v>0</v>
      </c>
    </row>
    <row r="19" spans="1:6">
      <c r="A19" s="642"/>
      <c r="B19" s="288" t="s">
        <v>809</v>
      </c>
      <c r="C19" s="288">
        <v>3</v>
      </c>
      <c r="D19" s="289">
        <f t="shared" si="0"/>
        <v>115.8</v>
      </c>
      <c r="E19" s="289">
        <f t="shared" si="1"/>
        <v>6</v>
      </c>
      <c r="F19" s="290">
        <f t="shared" si="2"/>
        <v>365.4</v>
      </c>
    </row>
    <row r="20" spans="1:6">
      <c r="A20" s="642"/>
      <c r="B20" s="288" t="s">
        <v>806</v>
      </c>
      <c r="C20" s="288">
        <v>3</v>
      </c>
      <c r="D20" s="289">
        <f t="shared" si="0"/>
        <v>41.79</v>
      </c>
      <c r="E20" s="289">
        <f t="shared" si="1"/>
        <v>1</v>
      </c>
      <c r="F20" s="290">
        <f t="shared" si="2"/>
        <v>128.37</v>
      </c>
    </row>
    <row r="21" spans="1:6">
      <c r="A21" s="642" t="s">
        <v>715</v>
      </c>
      <c r="B21" s="288" t="s">
        <v>804</v>
      </c>
      <c r="C21" s="288">
        <v>1</v>
      </c>
      <c r="D21" s="289">
        <f t="shared" si="0"/>
        <v>26.31</v>
      </c>
      <c r="E21" s="289">
        <f t="shared" si="1"/>
        <v>1</v>
      </c>
      <c r="F21" s="290">
        <f t="shared" si="2"/>
        <v>27.31</v>
      </c>
    </row>
    <row r="22" spans="1:6">
      <c r="A22" s="642"/>
      <c r="B22" s="288" t="s">
        <v>805</v>
      </c>
      <c r="C22" s="288">
        <v>1</v>
      </c>
      <c r="D22" s="289">
        <f t="shared" si="0"/>
        <v>48</v>
      </c>
      <c r="E22" s="289">
        <f t="shared" si="1"/>
        <v>9.99</v>
      </c>
      <c r="F22" s="290">
        <f t="shared" si="2"/>
        <v>57.99</v>
      </c>
    </row>
    <row r="23" spans="1:6">
      <c r="A23" s="642"/>
      <c r="B23" s="288" t="s">
        <v>810</v>
      </c>
      <c r="C23" s="288">
        <v>1</v>
      </c>
      <c r="D23" s="289">
        <f t="shared" si="0"/>
        <v>30</v>
      </c>
      <c r="E23" s="289">
        <f t="shared" si="1"/>
        <v>0.5</v>
      </c>
      <c r="F23" s="290">
        <f t="shared" si="2"/>
        <v>30.5</v>
      </c>
    </row>
    <row r="24" spans="1:6">
      <c r="A24" s="642" t="s">
        <v>746</v>
      </c>
      <c r="B24" s="288" t="s">
        <v>805</v>
      </c>
      <c r="C24" s="288">
        <v>1</v>
      </c>
      <c r="D24" s="289">
        <f t="shared" si="0"/>
        <v>48</v>
      </c>
      <c r="E24" s="289">
        <f t="shared" si="1"/>
        <v>9.99</v>
      </c>
      <c r="F24" s="290">
        <f t="shared" si="2"/>
        <v>57.99</v>
      </c>
    </row>
    <row r="25" spans="1:6">
      <c r="A25" s="642"/>
      <c r="B25" s="288" t="s">
        <v>809</v>
      </c>
      <c r="C25" s="288">
        <v>4</v>
      </c>
      <c r="D25" s="289">
        <f t="shared" si="0"/>
        <v>115.8</v>
      </c>
      <c r="E25" s="289">
        <f t="shared" si="1"/>
        <v>6</v>
      </c>
      <c r="F25" s="290">
        <f t="shared" si="2"/>
        <v>487.2</v>
      </c>
    </row>
    <row r="26" spans="1:6">
      <c r="A26" s="642" t="s">
        <v>718</v>
      </c>
      <c r="B26" s="288" t="s">
        <v>804</v>
      </c>
      <c r="C26" s="288">
        <v>2</v>
      </c>
      <c r="D26" s="289">
        <f t="shared" si="0"/>
        <v>26.31</v>
      </c>
      <c r="E26" s="289">
        <f t="shared" si="1"/>
        <v>1</v>
      </c>
      <c r="F26" s="290">
        <f t="shared" si="2"/>
        <v>54.62</v>
      </c>
    </row>
    <row r="27" spans="1:6">
      <c r="A27" s="642"/>
      <c r="B27" s="288" t="s">
        <v>805</v>
      </c>
      <c r="C27" s="288">
        <v>3</v>
      </c>
      <c r="D27" s="289">
        <f t="shared" si="0"/>
        <v>48</v>
      </c>
      <c r="E27" s="289">
        <f t="shared" si="1"/>
        <v>9.99</v>
      </c>
      <c r="F27" s="290">
        <f t="shared" si="2"/>
        <v>173.97</v>
      </c>
    </row>
    <row r="28" spans="1:6">
      <c r="A28" s="642" t="s">
        <v>747</v>
      </c>
      <c r="B28" s="288" t="s">
        <v>805</v>
      </c>
      <c r="C28" s="288">
        <v>1</v>
      </c>
      <c r="D28" s="289">
        <f t="shared" si="0"/>
        <v>48</v>
      </c>
      <c r="E28" s="289">
        <f t="shared" si="1"/>
        <v>9.99</v>
      </c>
      <c r="F28" s="290">
        <f t="shared" si="2"/>
        <v>57.99</v>
      </c>
    </row>
    <row r="29" spans="1:6">
      <c r="A29" s="642"/>
      <c r="B29" s="288" t="s">
        <v>809</v>
      </c>
      <c r="C29" s="288">
        <v>3</v>
      </c>
      <c r="D29" s="289">
        <f t="shared" si="0"/>
        <v>115.8</v>
      </c>
      <c r="E29" s="289">
        <f t="shared" si="1"/>
        <v>6</v>
      </c>
      <c r="F29" s="290">
        <f t="shared" si="2"/>
        <v>365.4</v>
      </c>
    </row>
    <row r="30" spans="1:6">
      <c r="A30" s="640" t="s">
        <v>748</v>
      </c>
      <c r="B30" s="288" t="s">
        <v>804</v>
      </c>
      <c r="C30" s="288">
        <v>3</v>
      </c>
      <c r="D30" s="289">
        <f t="shared" si="0"/>
        <v>26.31</v>
      </c>
      <c r="E30" s="289">
        <f t="shared" si="1"/>
        <v>1</v>
      </c>
      <c r="F30" s="290">
        <f t="shared" si="2"/>
        <v>81.929999999999993</v>
      </c>
    </row>
    <row r="31" spans="1:6">
      <c r="A31" s="640"/>
      <c r="B31" s="288" t="s">
        <v>805</v>
      </c>
      <c r="C31" s="288">
        <v>1</v>
      </c>
      <c r="D31" s="289">
        <f t="shared" si="0"/>
        <v>48</v>
      </c>
      <c r="E31" s="289">
        <f t="shared" si="1"/>
        <v>9.99</v>
      </c>
      <c r="F31" s="290">
        <f t="shared" si="2"/>
        <v>57.99</v>
      </c>
    </row>
    <row r="32" spans="1:6">
      <c r="A32" s="640"/>
      <c r="B32" s="288" t="s">
        <v>809</v>
      </c>
      <c r="C32" s="288">
        <v>4</v>
      </c>
      <c r="D32" s="289">
        <f t="shared" si="0"/>
        <v>115.8</v>
      </c>
      <c r="E32" s="289">
        <f t="shared" si="1"/>
        <v>6</v>
      </c>
      <c r="F32" s="290">
        <f t="shared" si="2"/>
        <v>487.2</v>
      </c>
    </row>
    <row r="33" spans="1:8">
      <c r="A33" s="642" t="s">
        <v>719</v>
      </c>
      <c r="B33" s="288" t="s">
        <v>804</v>
      </c>
      <c r="C33" s="288">
        <v>2</v>
      </c>
      <c r="D33" s="289">
        <f t="shared" si="0"/>
        <v>26.31</v>
      </c>
      <c r="E33" s="289">
        <f t="shared" si="1"/>
        <v>1</v>
      </c>
      <c r="F33" s="290">
        <f t="shared" si="2"/>
        <v>54.62</v>
      </c>
    </row>
    <row r="34" spans="1:8">
      <c r="A34" s="642"/>
      <c r="B34" s="288" t="s">
        <v>805</v>
      </c>
      <c r="C34" s="288">
        <v>2</v>
      </c>
      <c r="D34" s="289">
        <f t="shared" si="0"/>
        <v>48</v>
      </c>
      <c r="E34" s="289">
        <f t="shared" si="1"/>
        <v>9.99</v>
      </c>
      <c r="F34" s="290">
        <f t="shared" si="2"/>
        <v>115.98</v>
      </c>
    </row>
    <row r="35" spans="1:8">
      <c r="A35" s="642"/>
      <c r="B35" s="288" t="s">
        <v>809</v>
      </c>
      <c r="C35" s="288">
        <v>1</v>
      </c>
      <c r="D35" s="289">
        <f t="shared" si="0"/>
        <v>115.8</v>
      </c>
      <c r="E35" s="289">
        <f t="shared" si="1"/>
        <v>6</v>
      </c>
      <c r="F35" s="290">
        <f t="shared" si="2"/>
        <v>121.8</v>
      </c>
    </row>
    <row r="36" spans="1:8">
      <c r="A36" s="642"/>
      <c r="B36" s="288" t="s">
        <v>810</v>
      </c>
      <c r="C36" s="288">
        <v>3</v>
      </c>
      <c r="D36" s="289">
        <f t="shared" si="0"/>
        <v>30</v>
      </c>
      <c r="E36" s="289">
        <f t="shared" si="1"/>
        <v>0.5</v>
      </c>
      <c r="F36" s="290">
        <f t="shared" si="2"/>
        <v>91.5</v>
      </c>
    </row>
    <row r="37" spans="1:8">
      <c r="A37" s="642" t="s">
        <v>720</v>
      </c>
      <c r="B37" s="288" t="s">
        <v>804</v>
      </c>
      <c r="C37" s="288">
        <v>2</v>
      </c>
      <c r="D37" s="289">
        <f t="shared" si="0"/>
        <v>26.31</v>
      </c>
      <c r="E37" s="289">
        <f t="shared" si="1"/>
        <v>1</v>
      </c>
      <c r="F37" s="290">
        <f t="shared" si="2"/>
        <v>54.62</v>
      </c>
    </row>
    <row r="38" spans="1:8">
      <c r="A38" s="642"/>
      <c r="B38" s="288" t="s">
        <v>805</v>
      </c>
      <c r="C38" s="288">
        <v>4</v>
      </c>
      <c r="D38" s="289">
        <f t="shared" si="0"/>
        <v>48</v>
      </c>
      <c r="E38" s="289">
        <f t="shared" si="1"/>
        <v>9.99</v>
      </c>
      <c r="F38" s="290">
        <f t="shared" si="2"/>
        <v>231.96</v>
      </c>
      <c r="H38" s="129"/>
    </row>
    <row r="39" spans="1:8">
      <c r="A39" s="646" t="s">
        <v>749</v>
      </c>
      <c r="B39" s="646"/>
      <c r="C39" s="646"/>
      <c r="D39" s="646"/>
      <c r="E39" s="646"/>
      <c r="F39" s="294">
        <f>SUM(F3:F38)</f>
        <v>8246.2299999999977</v>
      </c>
    </row>
    <row r="41" spans="1:8">
      <c r="A41" s="647" t="s">
        <v>811</v>
      </c>
      <c r="B41" s="647"/>
      <c r="C41" s="647"/>
      <c r="D41" s="647"/>
      <c r="E41" s="647"/>
    </row>
    <row r="42" spans="1:8" ht="25.5">
      <c r="A42" s="295" t="s">
        <v>159</v>
      </c>
      <c r="B42" s="296" t="s">
        <v>812</v>
      </c>
      <c r="C42" s="295" t="s">
        <v>797</v>
      </c>
      <c r="D42" s="159" t="s">
        <v>509</v>
      </c>
      <c r="E42" s="159" t="s">
        <v>813</v>
      </c>
    </row>
    <row r="43" spans="1:8">
      <c r="A43" s="648" t="s">
        <v>814</v>
      </c>
      <c r="B43" s="293">
        <v>30</v>
      </c>
      <c r="C43" s="297">
        <v>6</v>
      </c>
      <c r="D43" s="301">
        <v>13.16</v>
      </c>
      <c r="E43" s="290">
        <f>ROUND(D43*C43,2)</f>
        <v>78.959999999999994</v>
      </c>
      <c r="F43" s="298"/>
    </row>
    <row r="44" spans="1:8">
      <c r="A44" s="649"/>
      <c r="B44" s="293">
        <v>15</v>
      </c>
      <c r="C44" s="297">
        <v>14</v>
      </c>
      <c r="D44" s="301">
        <v>7.85</v>
      </c>
      <c r="E44" s="290">
        <f t="shared" ref="E44:E45" si="3">ROUND(D44*C44,2)</f>
        <v>109.9</v>
      </c>
      <c r="F44" s="298"/>
    </row>
    <row r="45" spans="1:8">
      <c r="A45" s="295" t="s">
        <v>815</v>
      </c>
      <c r="B45" s="288">
        <v>20</v>
      </c>
      <c r="C45" s="297">
        <v>4</v>
      </c>
      <c r="D45" s="301">
        <v>8</v>
      </c>
      <c r="E45" s="290">
        <f t="shared" si="3"/>
        <v>32</v>
      </c>
    </row>
    <row r="46" spans="1:8">
      <c r="A46" s="650" t="s">
        <v>749</v>
      </c>
      <c r="B46" s="650"/>
      <c r="C46" s="650"/>
      <c r="D46" s="650"/>
      <c r="E46" s="299">
        <f>SUM(E43:E45)</f>
        <v>220.86</v>
      </c>
    </row>
    <row r="48" spans="1:8" ht="19.5" customHeight="1">
      <c r="A48" s="643" t="s">
        <v>816</v>
      </c>
      <c r="B48" s="644"/>
      <c r="C48" s="644"/>
      <c r="D48" s="645"/>
      <c r="E48" s="300">
        <f>E46+F39</f>
        <v>8467.0899999999983</v>
      </c>
    </row>
    <row r="50" spans="1:6">
      <c r="A50" s="593" t="s">
        <v>761</v>
      </c>
      <c r="B50" s="593"/>
      <c r="C50" s="593"/>
      <c r="D50" s="593"/>
      <c r="E50" s="593"/>
      <c r="F50" s="593"/>
    </row>
  </sheetData>
  <sheetProtection algorithmName="SHA-512" hashValue="TH4xZcGIr/INVoGggfpI8+wde4CNWfiRtPr3g3Z/0JJXvnN95n/rTpSU1RqCk2Ki5RqaXM+GuNOVu6hDEMZetw==" saltValue="j39V0JZydeBq0PRZvnyNnA==" spinCount="100000" sheet="1" objects="1" scenarios="1" selectLockedCells="1"/>
  <mergeCells count="20">
    <mergeCell ref="A48:D48"/>
    <mergeCell ref="A50:F50"/>
    <mergeCell ref="A33:A36"/>
    <mergeCell ref="A37:A38"/>
    <mergeCell ref="A39:E39"/>
    <mergeCell ref="A41:E41"/>
    <mergeCell ref="A43:A44"/>
    <mergeCell ref="A46:D46"/>
    <mergeCell ref="A30:A32"/>
    <mergeCell ref="A1:F1"/>
    <mergeCell ref="A3:A6"/>
    <mergeCell ref="A7:A10"/>
    <mergeCell ref="A11:A12"/>
    <mergeCell ref="A14:A15"/>
    <mergeCell ref="A16:A17"/>
    <mergeCell ref="A18:A20"/>
    <mergeCell ref="A21:A23"/>
    <mergeCell ref="A24:A25"/>
    <mergeCell ref="A26:A27"/>
    <mergeCell ref="A28:A29"/>
  </mergeCells>
  <pageMargins left="0.511811024" right="0.511811024" top="0.78740157499999996" bottom="0.78740157499999996" header="0.31496062000000002" footer="0.31496062000000002"/>
  <pageSetup paperSize="9" scale="65" fitToHeight="0" orientation="portrait" horizontalDpi="300" verticalDpi="300" r:id="rId1"/>
</worksheet>
</file>

<file path=xl/worksheets/sheet17.xml><?xml version="1.0" encoding="utf-8"?>
<worksheet xmlns="http://schemas.openxmlformats.org/spreadsheetml/2006/main" xmlns:r="http://schemas.openxmlformats.org/officeDocument/2006/relationships">
  <dimension ref="A1:E16"/>
  <sheetViews>
    <sheetView workbookViewId="0">
      <selection activeCell="A3" sqref="A3:E3"/>
    </sheetView>
  </sheetViews>
  <sheetFormatPr defaultColWidth="9.140625" defaultRowHeight="15"/>
  <cols>
    <col min="1" max="5" width="15.7109375" style="110" customWidth="1"/>
    <col min="6" max="16384" width="9.140625" style="110"/>
  </cols>
  <sheetData>
    <row r="1" spans="1:5" ht="15.75">
      <c r="A1" s="652" t="s">
        <v>789</v>
      </c>
      <c r="B1" s="652"/>
      <c r="C1" s="652"/>
      <c r="D1" s="652"/>
      <c r="E1" s="652"/>
    </row>
    <row r="3" spans="1:5">
      <c r="A3" s="651">
        <v>0</v>
      </c>
      <c r="B3" s="651"/>
      <c r="C3" s="651"/>
      <c r="D3" s="651"/>
      <c r="E3" s="651"/>
    </row>
    <row r="6" spans="1:5" ht="15.75">
      <c r="A6" s="652" t="s">
        <v>790</v>
      </c>
      <c r="B6" s="652"/>
      <c r="C6" s="652"/>
      <c r="D6" s="652"/>
      <c r="E6" s="652"/>
    </row>
    <row r="8" spans="1:5">
      <c r="A8" s="651">
        <v>0</v>
      </c>
      <c r="B8" s="651"/>
      <c r="C8" s="651"/>
      <c r="D8" s="651"/>
      <c r="E8" s="651"/>
    </row>
    <row r="11" spans="1:5" ht="15.75">
      <c r="A11" s="652" t="s">
        <v>791</v>
      </c>
      <c r="B11" s="652"/>
      <c r="C11" s="652"/>
      <c r="D11" s="652"/>
      <c r="E11" s="652"/>
    </row>
    <row r="13" spans="1:5">
      <c r="A13" s="651">
        <v>0</v>
      </c>
      <c r="B13" s="651"/>
      <c r="C13" s="651"/>
      <c r="D13" s="651"/>
      <c r="E13" s="651"/>
    </row>
    <row r="16" spans="1:5">
      <c r="A16" s="605" t="s">
        <v>763</v>
      </c>
      <c r="B16" s="606"/>
      <c r="C16" s="606"/>
      <c r="D16" s="606"/>
      <c r="E16" s="607"/>
    </row>
  </sheetData>
  <sheetProtection algorithmName="SHA-512" hashValue="tVPCM8/Gv5g3vVhB8q15vDY5AygdySmt1TmbN1VxFMmLoYnihjMtoelhxtke3gAeoYfzEx0QNQV4QJX1qK73xw==" saltValue="iRiX75NUF6w/v+chRxBuaA==" spinCount="100000" sheet="1" objects="1" scenarios="1" selectLockedCells="1"/>
  <mergeCells count="7">
    <mergeCell ref="A8:E8"/>
    <mergeCell ref="A11:E11"/>
    <mergeCell ref="A13:E13"/>
    <mergeCell ref="A16:E16"/>
    <mergeCell ref="A1:E1"/>
    <mergeCell ref="A3:E3"/>
    <mergeCell ref="A6:E6"/>
  </mergeCells>
  <printOptions horizontalCentered="1"/>
  <pageMargins left="0.51181102362204722" right="0.51181102362204722" top="0.78740157480314965" bottom="0.78740157480314965"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F15"/>
  <sheetViews>
    <sheetView workbookViewId="0">
      <selection activeCell="K17" sqref="K17"/>
    </sheetView>
  </sheetViews>
  <sheetFormatPr defaultRowHeight="15"/>
  <cols>
    <col min="1" max="1" width="80.85546875" customWidth="1"/>
    <col min="2" max="2" width="11.42578125" bestFit="1" customWidth="1"/>
    <col min="3" max="3" width="13.42578125" customWidth="1"/>
  </cols>
  <sheetData>
    <row r="1" spans="1:6" ht="21">
      <c r="A1" s="653" t="s">
        <v>200</v>
      </c>
      <c r="B1" s="653"/>
      <c r="C1" s="653"/>
    </row>
    <row r="2" spans="1:6" ht="45">
      <c r="A2" s="49" t="s">
        <v>208</v>
      </c>
      <c r="B2" s="50" t="s">
        <v>176</v>
      </c>
      <c r="C2" s="59" t="s">
        <v>185</v>
      </c>
    </row>
    <row r="3" spans="1:6">
      <c r="A3" s="655" t="s">
        <v>177</v>
      </c>
      <c r="B3" s="655"/>
      <c r="C3" s="655"/>
    </row>
    <row r="4" spans="1:6">
      <c r="A4" s="51" t="s">
        <v>212</v>
      </c>
      <c r="B4" s="57">
        <v>225.61</v>
      </c>
      <c r="C4" s="60">
        <v>320</v>
      </c>
      <c r="E4" s="108">
        <f>B4/C4</f>
        <v>0.70503125</v>
      </c>
      <c r="F4" s="109"/>
    </row>
    <row r="5" spans="1:6">
      <c r="A5" s="51" t="s">
        <v>178</v>
      </c>
      <c r="B5" s="57">
        <v>16.920000000000002</v>
      </c>
      <c r="C5" s="60">
        <v>90</v>
      </c>
      <c r="E5" s="108">
        <f t="shared" ref="E5:E13" si="0">B5/C5</f>
        <v>0.18800000000000003</v>
      </c>
      <c r="F5" s="109"/>
    </row>
    <row r="6" spans="1:6">
      <c r="A6" s="656"/>
      <c r="B6" s="656"/>
      <c r="C6" s="656"/>
      <c r="E6" s="108"/>
      <c r="F6" s="109"/>
    </row>
    <row r="7" spans="1:6">
      <c r="A7" s="655" t="s">
        <v>179</v>
      </c>
      <c r="B7" s="655"/>
      <c r="C7" s="655"/>
      <c r="E7" s="108"/>
      <c r="F7" s="109"/>
    </row>
    <row r="8" spans="1:6">
      <c r="A8" s="51" t="s">
        <v>180</v>
      </c>
      <c r="B8" s="57">
        <v>100.47</v>
      </c>
      <c r="C8" s="60">
        <v>2500</v>
      </c>
      <c r="E8" s="108">
        <f t="shared" si="0"/>
        <v>4.0188000000000001E-2</v>
      </c>
      <c r="F8" s="109"/>
    </row>
    <row r="9" spans="1:6">
      <c r="A9" s="51" t="s">
        <v>181</v>
      </c>
      <c r="B9" s="57">
        <v>49.35</v>
      </c>
      <c r="C9" s="60">
        <v>6000</v>
      </c>
      <c r="E9" s="108">
        <f t="shared" si="0"/>
        <v>8.2249999999999997E-3</v>
      </c>
      <c r="F9" s="109"/>
    </row>
    <row r="10" spans="1:6">
      <c r="A10" s="51" t="s">
        <v>182</v>
      </c>
      <c r="B10" s="57">
        <v>40.69</v>
      </c>
      <c r="C10" s="60">
        <v>2500</v>
      </c>
      <c r="E10" s="108">
        <f t="shared" si="0"/>
        <v>1.6275999999999999E-2</v>
      </c>
      <c r="F10" s="109"/>
    </row>
    <row r="11" spans="1:6">
      <c r="A11" s="51"/>
      <c r="B11" s="57"/>
      <c r="C11" s="60"/>
      <c r="E11" s="108"/>
      <c r="F11" s="109"/>
    </row>
    <row r="12" spans="1:6">
      <c r="A12" s="655" t="s">
        <v>224</v>
      </c>
      <c r="B12" s="655"/>
      <c r="C12" s="655"/>
      <c r="E12" s="108"/>
      <c r="F12" s="109"/>
    </row>
    <row r="13" spans="1:6">
      <c r="A13" s="51" t="s">
        <v>225</v>
      </c>
      <c r="B13" s="57">
        <v>83.03</v>
      </c>
      <c r="C13" s="60">
        <v>380</v>
      </c>
      <c r="E13" s="108">
        <f t="shared" si="0"/>
        <v>0.2185</v>
      </c>
      <c r="F13" s="109"/>
    </row>
    <row r="14" spans="1:6">
      <c r="A14" s="654"/>
      <c r="B14" s="654"/>
      <c r="C14" s="654"/>
      <c r="E14" s="108"/>
      <c r="F14" s="109"/>
    </row>
    <row r="15" spans="1:6">
      <c r="E15" s="108">
        <f>SUM(E4:E13)</f>
        <v>1.1762202500000001</v>
      </c>
    </row>
  </sheetData>
  <mergeCells count="6">
    <mergeCell ref="A1:C1"/>
    <mergeCell ref="A14:C14"/>
    <mergeCell ref="A3:C3"/>
    <mergeCell ref="A7:C7"/>
    <mergeCell ref="A6:C6"/>
    <mergeCell ref="A12:C12"/>
  </mergeCells>
  <pageMargins left="0.511811024" right="0.511811024" top="0.78740157499999996" bottom="0.78740157499999996" header="0.31496062000000002" footer="0.31496062000000002"/>
  <pageSetup paperSize="9" scale="74" orientation="portrait" r:id="rId1"/>
</worksheet>
</file>

<file path=xl/worksheets/sheet19.xml><?xml version="1.0" encoding="utf-8"?>
<worksheet xmlns="http://schemas.openxmlformats.org/spreadsheetml/2006/main" xmlns:r="http://schemas.openxmlformats.org/officeDocument/2006/relationships">
  <sheetPr>
    <pageSetUpPr fitToPage="1"/>
  </sheetPr>
  <dimension ref="A1:H53"/>
  <sheetViews>
    <sheetView workbookViewId="0">
      <selection activeCell="K17" sqref="K17"/>
    </sheetView>
  </sheetViews>
  <sheetFormatPr defaultRowHeight="15"/>
  <cols>
    <col min="1" max="1" width="15.7109375" bestFit="1" customWidth="1"/>
    <col min="2" max="2" width="24.28515625" customWidth="1"/>
    <col min="3" max="3" width="15.7109375" customWidth="1"/>
    <col min="4" max="4" width="16" customWidth="1"/>
    <col min="5" max="5" width="18.140625" customWidth="1"/>
    <col min="6" max="6" width="11.7109375" customWidth="1"/>
    <col min="7" max="7" width="14.28515625" customWidth="1"/>
    <col min="8" max="8" width="13.7109375" customWidth="1"/>
    <col min="11" max="11" width="10.140625" bestFit="1" customWidth="1"/>
  </cols>
  <sheetData>
    <row r="1" spans="1:5">
      <c r="A1" s="660" t="s">
        <v>171</v>
      </c>
      <c r="B1" s="660"/>
      <c r="C1" s="660"/>
      <c r="D1" s="660"/>
      <c r="E1" s="660"/>
    </row>
    <row r="3" spans="1:5">
      <c r="A3" s="661" t="s">
        <v>172</v>
      </c>
      <c r="B3" s="661"/>
      <c r="C3" s="661"/>
      <c r="D3" s="661"/>
      <c r="E3" s="661"/>
    </row>
    <row r="4" spans="1:5">
      <c r="A4" s="72"/>
      <c r="B4" s="72"/>
      <c r="C4" s="72"/>
      <c r="D4" s="72"/>
      <c r="E4" s="72"/>
    </row>
    <row r="5" spans="1:5">
      <c r="A5" s="664" t="s">
        <v>212</v>
      </c>
      <c r="B5" s="664"/>
      <c r="C5" s="664"/>
      <c r="D5" s="664"/>
      <c r="E5" s="664"/>
    </row>
    <row r="6" spans="1:5" ht="45">
      <c r="A6" s="49" t="s">
        <v>210</v>
      </c>
      <c r="B6" s="49" t="s">
        <v>209</v>
      </c>
      <c r="C6" s="50" t="s">
        <v>186</v>
      </c>
      <c r="D6" s="50" t="s">
        <v>211</v>
      </c>
      <c r="E6" s="50" t="s">
        <v>187</v>
      </c>
    </row>
    <row r="7" spans="1:5">
      <c r="A7" s="662">
        <f>'Produtividade IN 05-2017'!C4</f>
        <v>320</v>
      </c>
      <c r="B7" s="51" t="s">
        <v>246</v>
      </c>
      <c r="C7" s="74">
        <f>(1/(30*A7))</f>
        <v>1.0416666666666667E-4</v>
      </c>
      <c r="D7" s="52">
        <v>4286.6899999999996</v>
      </c>
      <c r="E7" s="53">
        <f>ROUND(C7*D7,2)</f>
        <v>0.45</v>
      </c>
    </row>
    <row r="8" spans="1:5">
      <c r="A8" s="663"/>
      <c r="B8" s="51" t="s">
        <v>173</v>
      </c>
      <c r="C8" s="74">
        <f>(1/A7)</f>
        <v>3.1250000000000002E-3</v>
      </c>
      <c r="D8" s="52">
        <v>2962.78</v>
      </c>
      <c r="E8" s="53">
        <f>ROUND(C8*D8,2)</f>
        <v>9.26</v>
      </c>
    </row>
    <row r="9" spans="1:5">
      <c r="A9" s="657" t="s">
        <v>174</v>
      </c>
      <c r="B9" s="658"/>
      <c r="C9" s="658"/>
      <c r="D9" s="659"/>
      <c r="E9" s="55">
        <f>SUM(E7:E8)</f>
        <v>9.7099999999999991</v>
      </c>
    </row>
    <row r="10" spans="1:5">
      <c r="A10" s="72"/>
      <c r="B10" s="72"/>
      <c r="C10" s="72"/>
      <c r="D10" s="72"/>
      <c r="E10" s="72"/>
    </row>
    <row r="11" spans="1:5">
      <c r="A11" s="664" t="s">
        <v>178</v>
      </c>
      <c r="B11" s="664"/>
      <c r="C11" s="664"/>
      <c r="D11" s="664"/>
      <c r="E11" s="664"/>
    </row>
    <row r="12" spans="1:5" ht="45">
      <c r="A12" s="49" t="s">
        <v>210</v>
      </c>
      <c r="B12" s="49" t="s">
        <v>209</v>
      </c>
      <c r="C12" s="50" t="s">
        <v>186</v>
      </c>
      <c r="D12" s="50" t="s">
        <v>211</v>
      </c>
      <c r="E12" s="50" t="s">
        <v>187</v>
      </c>
    </row>
    <row r="13" spans="1:5">
      <c r="A13" s="662">
        <f>'Produtividade IN 05-2017'!C5</f>
        <v>90</v>
      </c>
      <c r="B13" s="51" t="s">
        <v>246</v>
      </c>
      <c r="C13" s="74">
        <f>(1/(30*A13))</f>
        <v>3.7037037037037035E-4</v>
      </c>
      <c r="D13" s="52">
        <f>D7</f>
        <v>4286.6899999999996</v>
      </c>
      <c r="E13" s="53">
        <f>ROUND(C13*D13,2)</f>
        <v>1.59</v>
      </c>
    </row>
    <row r="14" spans="1:5">
      <c r="A14" s="663"/>
      <c r="B14" s="51" t="s">
        <v>173</v>
      </c>
      <c r="C14" s="74">
        <f>(1/A13)</f>
        <v>1.1111111111111112E-2</v>
      </c>
      <c r="D14" s="52">
        <f>D8</f>
        <v>2962.78</v>
      </c>
      <c r="E14" s="53">
        <f>ROUND(C14*D14,2)</f>
        <v>32.92</v>
      </c>
    </row>
    <row r="15" spans="1:5">
      <c r="A15" s="657" t="s">
        <v>174</v>
      </c>
      <c r="B15" s="658"/>
      <c r="C15" s="658"/>
      <c r="D15" s="659"/>
      <c r="E15" s="55">
        <f>SUM(E13:E14)</f>
        <v>34.510000000000005</v>
      </c>
    </row>
    <row r="17" spans="1:5">
      <c r="A17" s="661" t="s">
        <v>175</v>
      </c>
      <c r="B17" s="661"/>
      <c r="C17" s="661"/>
      <c r="D17" s="661"/>
      <c r="E17" s="661"/>
    </row>
    <row r="19" spans="1:5">
      <c r="A19" s="664" t="s">
        <v>180</v>
      </c>
      <c r="B19" s="664"/>
      <c r="C19" s="664"/>
      <c r="D19" s="664"/>
      <c r="E19" s="664"/>
    </row>
    <row r="20" spans="1:5" ht="45">
      <c r="A20" s="49" t="s">
        <v>210</v>
      </c>
      <c r="B20" s="49" t="s">
        <v>209</v>
      </c>
      <c r="C20" s="50" t="s">
        <v>186</v>
      </c>
      <c r="D20" s="50" t="s">
        <v>211</v>
      </c>
      <c r="E20" s="50" t="s">
        <v>187</v>
      </c>
    </row>
    <row r="21" spans="1:5">
      <c r="A21" s="662">
        <f>'Produtividade IN 05-2017'!C8</f>
        <v>2500</v>
      </c>
      <c r="B21" s="51" t="s">
        <v>246</v>
      </c>
      <c r="C21" s="74">
        <f>(1/(30*A21))</f>
        <v>1.3333333333333333E-5</v>
      </c>
      <c r="D21" s="52">
        <f>D7</f>
        <v>4286.6899999999996</v>
      </c>
      <c r="E21" s="53">
        <f>ROUND(C21*D21,2)</f>
        <v>0.06</v>
      </c>
    </row>
    <row r="22" spans="1:5">
      <c r="A22" s="663"/>
      <c r="B22" s="51" t="s">
        <v>173</v>
      </c>
      <c r="C22" s="74">
        <f>(1/A21)</f>
        <v>4.0000000000000002E-4</v>
      </c>
      <c r="D22" s="52">
        <f>D8</f>
        <v>2962.78</v>
      </c>
      <c r="E22" s="53">
        <f>ROUND(C22*D22,2)</f>
        <v>1.19</v>
      </c>
    </row>
    <row r="23" spans="1:5">
      <c r="A23" s="657" t="s">
        <v>174</v>
      </c>
      <c r="B23" s="658"/>
      <c r="C23" s="658"/>
      <c r="D23" s="659"/>
      <c r="E23" s="55">
        <f>SUM(E21:E22)</f>
        <v>1.25</v>
      </c>
    </row>
    <row r="25" spans="1:5">
      <c r="A25" s="664" t="s">
        <v>181</v>
      </c>
      <c r="B25" s="664"/>
      <c r="C25" s="664"/>
      <c r="D25" s="664"/>
      <c r="E25" s="664"/>
    </row>
    <row r="26" spans="1:5" ht="45">
      <c r="A26" s="49" t="s">
        <v>210</v>
      </c>
      <c r="B26" s="49" t="s">
        <v>209</v>
      </c>
      <c r="C26" s="50" t="s">
        <v>186</v>
      </c>
      <c r="D26" s="50" t="s">
        <v>211</v>
      </c>
      <c r="E26" s="50" t="s">
        <v>187</v>
      </c>
    </row>
    <row r="27" spans="1:5">
      <c r="A27" s="662">
        <f>'Produtividade IN 05-2017'!C9</f>
        <v>6000</v>
      </c>
      <c r="B27" s="51" t="s">
        <v>246</v>
      </c>
      <c r="C27" s="74">
        <f>(1/(30*A27))</f>
        <v>5.5555555555555558E-6</v>
      </c>
      <c r="D27" s="52">
        <f>D7</f>
        <v>4286.6899999999996</v>
      </c>
      <c r="E27" s="53">
        <f>ROUND(C27*D27,2)</f>
        <v>0.02</v>
      </c>
    </row>
    <row r="28" spans="1:5">
      <c r="A28" s="663"/>
      <c r="B28" s="51" t="s">
        <v>173</v>
      </c>
      <c r="C28" s="74">
        <f>(1/A27)</f>
        <v>1.6666666666666666E-4</v>
      </c>
      <c r="D28" s="52">
        <f>D8</f>
        <v>2962.78</v>
      </c>
      <c r="E28" s="53">
        <f>ROUND(C28*D28,2)</f>
        <v>0.49</v>
      </c>
    </row>
    <row r="29" spans="1:5">
      <c r="A29" s="657" t="s">
        <v>174</v>
      </c>
      <c r="B29" s="658"/>
      <c r="C29" s="658"/>
      <c r="D29" s="659"/>
      <c r="E29" s="55">
        <f>SUM(E27:E28)</f>
        <v>0.51</v>
      </c>
    </row>
    <row r="31" spans="1:5">
      <c r="A31" s="664" t="s">
        <v>182</v>
      </c>
      <c r="B31" s="664"/>
      <c r="C31" s="664"/>
      <c r="D31" s="664"/>
      <c r="E31" s="664"/>
    </row>
    <row r="32" spans="1:5" ht="45">
      <c r="A32" s="49" t="s">
        <v>210</v>
      </c>
      <c r="B32" s="49" t="s">
        <v>209</v>
      </c>
      <c r="C32" s="50" t="s">
        <v>186</v>
      </c>
      <c r="D32" s="50" t="s">
        <v>211</v>
      </c>
      <c r="E32" s="50" t="s">
        <v>187</v>
      </c>
    </row>
    <row r="33" spans="1:8">
      <c r="A33" s="662">
        <f>'Produtividade IN 05-2017'!C10</f>
        <v>2500</v>
      </c>
      <c r="B33" s="51" t="s">
        <v>246</v>
      </c>
      <c r="C33" s="74">
        <f>(1/(30*A33))</f>
        <v>1.3333333333333333E-5</v>
      </c>
      <c r="D33" s="52">
        <f>D7</f>
        <v>4286.6899999999996</v>
      </c>
      <c r="E33" s="53">
        <f>ROUND(C33*D33,2)</f>
        <v>0.06</v>
      </c>
    </row>
    <row r="34" spans="1:8">
      <c r="A34" s="663"/>
      <c r="B34" s="51" t="s">
        <v>173</v>
      </c>
      <c r="C34" s="74">
        <f>(1/A33)</f>
        <v>4.0000000000000002E-4</v>
      </c>
      <c r="D34" s="52">
        <f>D8</f>
        <v>2962.78</v>
      </c>
      <c r="E34" s="53">
        <f>ROUND(C34*D34,2)</f>
        <v>1.19</v>
      </c>
    </row>
    <row r="35" spans="1:8">
      <c r="A35" s="657" t="s">
        <v>174</v>
      </c>
      <c r="B35" s="658"/>
      <c r="C35" s="658"/>
      <c r="D35" s="659"/>
      <c r="E35" s="55">
        <f>SUM(E33:E34)</f>
        <v>1.25</v>
      </c>
    </row>
    <row r="37" spans="1:8">
      <c r="A37" s="661" t="s">
        <v>226</v>
      </c>
      <c r="B37" s="661"/>
      <c r="C37" s="661"/>
      <c r="D37" s="661"/>
      <c r="E37" s="661"/>
      <c r="F37" s="661"/>
      <c r="G37" s="661"/>
      <c r="H37" s="661"/>
    </row>
    <row r="39" spans="1:8">
      <c r="A39" s="664" t="s">
        <v>225</v>
      </c>
      <c r="B39" s="664"/>
      <c r="C39" s="664"/>
      <c r="D39" s="664"/>
      <c r="E39" s="664"/>
      <c r="F39" s="664"/>
      <c r="G39" s="664"/>
      <c r="H39" s="664"/>
    </row>
    <row r="40" spans="1:8" ht="75">
      <c r="A40" s="49" t="s">
        <v>210</v>
      </c>
      <c r="B40" s="49" t="s">
        <v>209</v>
      </c>
      <c r="C40" s="50" t="s">
        <v>186</v>
      </c>
      <c r="D40" s="50" t="s">
        <v>227</v>
      </c>
      <c r="E40" s="59" t="s">
        <v>228</v>
      </c>
      <c r="F40" s="50" t="s">
        <v>229</v>
      </c>
      <c r="G40" s="50" t="s">
        <v>230</v>
      </c>
      <c r="H40" s="50" t="s">
        <v>231</v>
      </c>
    </row>
    <row r="41" spans="1:8">
      <c r="A41" s="665">
        <f>'Produtividade IN 05-2017'!C13</f>
        <v>380</v>
      </c>
      <c r="B41" s="51" t="s">
        <v>246</v>
      </c>
      <c r="C41" s="90">
        <f>(1/(30*A41))</f>
        <v>8.7719298245614029E-5</v>
      </c>
      <c r="D41" s="91">
        <v>4</v>
      </c>
      <c r="E41" s="92">
        <f>1/C53</f>
        <v>8.8295542840997388E-4</v>
      </c>
      <c r="F41" s="93">
        <f>C41*D41*E41</f>
        <v>3.0980892224911361E-7</v>
      </c>
      <c r="G41" s="94">
        <v>4286.6899999999996</v>
      </c>
      <c r="H41" s="95">
        <f>ROUND(F41*G41,4)</f>
        <v>1.2999999999999999E-3</v>
      </c>
    </row>
    <row r="42" spans="1:8">
      <c r="A42" s="666"/>
      <c r="B42" s="96" t="s">
        <v>232</v>
      </c>
      <c r="C42" s="90">
        <f>(1/A41)</f>
        <v>2.631578947368421E-3</v>
      </c>
      <c r="D42" s="91">
        <v>4</v>
      </c>
      <c r="E42" s="97">
        <f>1/C53</f>
        <v>8.8295542840997388E-4</v>
      </c>
      <c r="F42" s="47">
        <f>C42*D42*E42</f>
        <v>9.2942676674734091E-6</v>
      </c>
      <c r="G42" s="94">
        <v>4303.84</v>
      </c>
      <c r="H42" s="98">
        <f>ROUND(F42*G42,2)</f>
        <v>0.04</v>
      </c>
    </row>
    <row r="43" spans="1:8">
      <c r="A43" s="664" t="s">
        <v>174</v>
      </c>
      <c r="B43" s="664"/>
      <c r="C43" s="664"/>
      <c r="D43" s="664"/>
      <c r="E43" s="664"/>
      <c r="F43" s="664"/>
      <c r="G43" s="664"/>
      <c r="H43" s="58">
        <f>SUM(H41:H42)</f>
        <v>4.1300000000000003E-2</v>
      </c>
    </row>
    <row r="45" spans="1:8">
      <c r="A45" s="99" t="s">
        <v>233</v>
      </c>
    </row>
    <row r="46" spans="1:8">
      <c r="A46" s="100" t="s">
        <v>234</v>
      </c>
      <c r="B46" s="48"/>
      <c r="C46" s="100">
        <v>365</v>
      </c>
    </row>
    <row r="47" spans="1:8">
      <c r="A47" s="100" t="s">
        <v>235</v>
      </c>
      <c r="B47" s="48"/>
      <c r="C47" s="100">
        <v>12</v>
      </c>
    </row>
    <row r="48" spans="1:8">
      <c r="A48" s="100" t="s">
        <v>236</v>
      </c>
      <c r="B48" s="48"/>
      <c r="C48" s="100">
        <v>30</v>
      </c>
    </row>
    <row r="49" spans="1:3">
      <c r="A49" s="100" t="s">
        <v>237</v>
      </c>
      <c r="B49" s="48"/>
      <c r="C49" s="100">
        <v>7</v>
      </c>
    </row>
    <row r="50" spans="1:3">
      <c r="A50" s="100" t="s">
        <v>238</v>
      </c>
      <c r="B50" s="101"/>
      <c r="C50" s="102">
        <f>C48/C49</f>
        <v>4.2857142857142856</v>
      </c>
    </row>
    <row r="51" spans="1:3">
      <c r="A51" s="100" t="s">
        <v>239</v>
      </c>
      <c r="B51" s="48"/>
      <c r="C51" s="100" t="s">
        <v>240</v>
      </c>
    </row>
    <row r="52" spans="1:3">
      <c r="A52" s="100" t="s">
        <v>241</v>
      </c>
      <c r="B52" s="101"/>
      <c r="C52" s="102">
        <f>4.29*44</f>
        <v>188.76</v>
      </c>
    </row>
    <row r="53" spans="1:3">
      <c r="A53" s="100" t="s">
        <v>242</v>
      </c>
      <c r="B53" s="48"/>
      <c r="C53" s="100">
        <f>6*C52</f>
        <v>1132.56</v>
      </c>
    </row>
  </sheetData>
  <mergeCells count="22">
    <mergeCell ref="A37:H37"/>
    <mergeCell ref="A39:H39"/>
    <mergeCell ref="A41:A42"/>
    <mergeCell ref="A43:G43"/>
    <mergeCell ref="A25:E25"/>
    <mergeCell ref="A27:A28"/>
    <mergeCell ref="A29:D29"/>
    <mergeCell ref="A31:E31"/>
    <mergeCell ref="A33:A34"/>
    <mergeCell ref="A35:D35"/>
    <mergeCell ref="A23:D23"/>
    <mergeCell ref="A1:E1"/>
    <mergeCell ref="A3:E3"/>
    <mergeCell ref="A7:A8"/>
    <mergeCell ref="A9:D9"/>
    <mergeCell ref="A5:E5"/>
    <mergeCell ref="A11:E11"/>
    <mergeCell ref="A13:A14"/>
    <mergeCell ref="A15:D15"/>
    <mergeCell ref="A17:E17"/>
    <mergeCell ref="A19:E19"/>
    <mergeCell ref="A21:A22"/>
  </mergeCells>
  <pageMargins left="0.511811024" right="0.511811024" top="0.78740157499999996" bottom="0.78740157499999996" header="0.31496062000000002" footer="0.31496062000000002"/>
  <pageSetup paperSize="9" scale="71" orientation="portrait" r:id="rId1"/>
</worksheet>
</file>

<file path=xl/worksheets/sheet2.xml><?xml version="1.0" encoding="utf-8"?>
<worksheet xmlns="http://schemas.openxmlformats.org/spreadsheetml/2006/main" xmlns:r="http://schemas.openxmlformats.org/officeDocument/2006/relationships">
  <dimension ref="A1:E4"/>
  <sheetViews>
    <sheetView workbookViewId="0">
      <selection sqref="A1:E1"/>
    </sheetView>
  </sheetViews>
  <sheetFormatPr defaultColWidth="8.7109375" defaultRowHeight="15"/>
  <cols>
    <col min="1" max="1" width="8.7109375" style="110"/>
    <col min="2" max="2" width="28.42578125" style="110" customWidth="1"/>
    <col min="3" max="3" width="15" style="110" customWidth="1"/>
    <col min="4" max="4" width="16" style="110" customWidth="1"/>
    <col min="5" max="5" width="18.5703125" style="110" customWidth="1"/>
    <col min="6" max="16384" width="8.7109375" style="110"/>
  </cols>
  <sheetData>
    <row r="1" spans="1:5" ht="15.75">
      <c r="A1" s="372" t="s">
        <v>732</v>
      </c>
      <c r="B1" s="372"/>
      <c r="C1" s="372"/>
      <c r="D1" s="372"/>
      <c r="E1" s="372"/>
    </row>
    <row r="2" spans="1:5" ht="60">
      <c r="A2" s="111" t="s">
        <v>693</v>
      </c>
      <c r="B2" s="111" t="s">
        <v>694</v>
      </c>
      <c r="C2" s="111" t="s">
        <v>695</v>
      </c>
      <c r="D2" s="111" t="s">
        <v>696</v>
      </c>
      <c r="E2" s="111" t="s">
        <v>697</v>
      </c>
    </row>
    <row r="3" spans="1:5">
      <c r="A3" s="112">
        <v>1</v>
      </c>
      <c r="B3" s="112" t="s">
        <v>698</v>
      </c>
      <c r="C3" s="113">
        <f>'1.1'!K169</f>
        <v>8643.6200000000008</v>
      </c>
      <c r="D3" s="112">
        <v>1</v>
      </c>
      <c r="E3" s="114">
        <f>C3*D3</f>
        <v>8643.6200000000008</v>
      </c>
    </row>
    <row r="4" spans="1:5">
      <c r="A4" s="112">
        <v>2</v>
      </c>
      <c r="B4" s="112" t="s">
        <v>699</v>
      </c>
      <c r="C4" s="113">
        <f>'1.2'!K169</f>
        <v>6321.71</v>
      </c>
      <c r="D4" s="112">
        <v>2</v>
      </c>
      <c r="E4" s="114">
        <f>C4*D4</f>
        <v>12643.42</v>
      </c>
    </row>
  </sheetData>
  <sheetProtection algorithmName="SHA-512" hashValue="n9JuSAMIYTJGUSP8huM7ah2SNyfui9abzpJO8tnHlSvoXs5w/HrISmidhNjIoSnYSNJ/L/RilkMbsG19M96FBA==" saltValue="cD6wY1lpskcnMU5axB+51w==" spinCount="100000" sheet="1" objects="1" scenarios="1" selectLockedCells="1"/>
  <mergeCells count="1">
    <mergeCell ref="A1:E1"/>
  </mergeCells>
  <pageMargins left="0.511811024" right="0.511811024" top="0.78740157499999996" bottom="0.78740157499999996" header="0.31496062000000002" footer="0.31496062000000002"/>
  <pageSetup paperSize="9"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H18"/>
  <sheetViews>
    <sheetView workbookViewId="0">
      <selection activeCell="K17" sqref="K17"/>
    </sheetView>
  </sheetViews>
  <sheetFormatPr defaultRowHeight="15"/>
  <cols>
    <col min="1" max="1" width="12.28515625" customWidth="1"/>
    <col min="2" max="2" width="15.5703125" customWidth="1"/>
    <col min="3" max="3" width="55.140625" customWidth="1"/>
    <col min="4" max="4" width="14.140625" customWidth="1"/>
    <col min="5" max="5" width="12.7109375" customWidth="1"/>
    <col min="7" max="7" width="11.42578125" customWidth="1"/>
    <col min="8" max="8" width="14.85546875" customWidth="1"/>
  </cols>
  <sheetData>
    <row r="1" spans="1:8">
      <c r="A1" s="672" t="s">
        <v>199</v>
      </c>
      <c r="B1" s="673"/>
      <c r="C1" s="673"/>
      <c r="D1" s="673"/>
      <c r="E1" s="673"/>
      <c r="F1" s="673"/>
      <c r="G1" s="673"/>
      <c r="H1" s="674"/>
    </row>
    <row r="2" spans="1:8" s="46" customFormat="1">
      <c r="A2" s="68"/>
      <c r="B2" s="68"/>
      <c r="C2" s="68"/>
      <c r="D2" s="69"/>
      <c r="E2" s="69"/>
      <c r="F2" s="69"/>
      <c r="G2" s="69"/>
      <c r="H2" s="69"/>
    </row>
    <row r="3" spans="1:8" ht="45">
      <c r="A3" s="50" t="s">
        <v>191</v>
      </c>
      <c r="B3" s="675" t="s">
        <v>207</v>
      </c>
      <c r="C3" s="675"/>
      <c r="D3" s="64" t="s">
        <v>205</v>
      </c>
      <c r="E3" s="64" t="s">
        <v>202</v>
      </c>
      <c r="F3" s="64" t="s">
        <v>201</v>
      </c>
      <c r="G3" s="64" t="s">
        <v>204</v>
      </c>
      <c r="H3" s="64" t="s">
        <v>192</v>
      </c>
    </row>
    <row r="4" spans="1:8" ht="17.25">
      <c r="A4" s="675" t="s">
        <v>213</v>
      </c>
      <c r="B4" s="684" t="s">
        <v>172</v>
      </c>
      <c r="C4" s="47" t="s">
        <v>212</v>
      </c>
      <c r="D4" s="54" t="s">
        <v>206</v>
      </c>
      <c r="E4" s="57">
        <f>'Produtividade IN 05-2017'!B4</f>
        <v>225.61</v>
      </c>
      <c r="F4" s="57" t="s">
        <v>203</v>
      </c>
      <c r="G4" s="65">
        <f>'Produtividade x M2'!E9</f>
        <v>9.7099999999999991</v>
      </c>
      <c r="H4" s="65">
        <f>ROUND(E4*G4,2)</f>
        <v>2190.67</v>
      </c>
    </row>
    <row r="5" spans="1:8" ht="17.25">
      <c r="A5" s="675"/>
      <c r="B5" s="684"/>
      <c r="C5" s="47" t="s">
        <v>178</v>
      </c>
      <c r="D5" s="54" t="s">
        <v>206</v>
      </c>
      <c r="E5" s="57">
        <f>'Produtividade IN 05-2017'!B5</f>
        <v>16.920000000000002</v>
      </c>
      <c r="F5" s="57" t="s">
        <v>203</v>
      </c>
      <c r="G5" s="65">
        <f>'Produtividade x M2'!E15</f>
        <v>34.510000000000005</v>
      </c>
      <c r="H5" s="65">
        <f>ROUND(E5*G5,2)</f>
        <v>583.91</v>
      </c>
    </row>
    <row r="6" spans="1:8" ht="5.0999999999999996" customHeight="1">
      <c r="A6" s="675"/>
    </row>
    <row r="7" spans="1:8" ht="17.25">
      <c r="A7" s="675"/>
      <c r="B7" s="684" t="s">
        <v>175</v>
      </c>
      <c r="C7" s="51" t="s">
        <v>180</v>
      </c>
      <c r="D7" s="54" t="str">
        <f>D4</f>
        <v>Mensal</v>
      </c>
      <c r="E7" s="57">
        <f>'Produtividade IN 05-2017'!B8</f>
        <v>100.47</v>
      </c>
      <c r="F7" s="57" t="s">
        <v>203</v>
      </c>
      <c r="G7" s="65">
        <f>'Produtividade x M2'!E23</f>
        <v>1.25</v>
      </c>
      <c r="H7" s="65">
        <f>ROUND(E7*G7,2)</f>
        <v>125.59</v>
      </c>
    </row>
    <row r="8" spans="1:8" ht="17.25">
      <c r="A8" s="675"/>
      <c r="B8" s="684"/>
      <c r="C8" s="51" t="s">
        <v>181</v>
      </c>
      <c r="D8" s="54" t="str">
        <f>D5</f>
        <v>Mensal</v>
      </c>
      <c r="E8" s="57">
        <f>'Produtividade IN 05-2017'!B9</f>
        <v>49.35</v>
      </c>
      <c r="F8" s="57" t="s">
        <v>203</v>
      </c>
      <c r="G8" s="65">
        <f>'Produtividade x M2'!E29</f>
        <v>0.51</v>
      </c>
      <c r="H8" s="65">
        <f>ROUND(E8*G8,2)</f>
        <v>25.17</v>
      </c>
    </row>
    <row r="9" spans="1:8" ht="17.25">
      <c r="A9" s="675"/>
      <c r="B9" s="684"/>
      <c r="C9" s="51" t="s">
        <v>182</v>
      </c>
      <c r="D9" s="54" t="str">
        <f>D8</f>
        <v>Mensal</v>
      </c>
      <c r="E9" s="57">
        <f>'Produtividade IN 05-2017'!B10</f>
        <v>40.69</v>
      </c>
      <c r="F9" s="57" t="s">
        <v>203</v>
      </c>
      <c r="G9" s="65">
        <f>'Produtividade x M2'!E35</f>
        <v>1.25</v>
      </c>
      <c r="H9" s="65">
        <f>ROUND(E9*G9,2)</f>
        <v>50.86</v>
      </c>
    </row>
    <row r="10" spans="1:8" ht="5.0999999999999996" customHeight="1">
      <c r="A10" s="675"/>
      <c r="B10" s="687"/>
      <c r="C10" s="688"/>
      <c r="D10" s="688"/>
      <c r="E10" s="688"/>
      <c r="F10" s="688"/>
      <c r="G10" s="688"/>
      <c r="H10" s="689"/>
    </row>
    <row r="11" spans="1:8" ht="18.75" customHeight="1">
      <c r="A11" s="675"/>
      <c r="B11" s="103" t="s">
        <v>243</v>
      </c>
      <c r="C11" s="104" t="s">
        <v>225</v>
      </c>
      <c r="D11" s="105" t="s">
        <v>248</v>
      </c>
      <c r="E11" s="106">
        <f>'Produtividade IN 05-2017'!B13</f>
        <v>83.03</v>
      </c>
      <c r="F11" s="106" t="s">
        <v>203</v>
      </c>
      <c r="G11" s="107">
        <f>'Produtividade x M2'!H43</f>
        <v>4.1300000000000003E-2</v>
      </c>
      <c r="H11" s="65">
        <f>ROUND(E11*G11,2)</f>
        <v>3.43</v>
      </c>
    </row>
    <row r="12" spans="1:8" ht="5.0999999999999996" customHeight="1">
      <c r="A12" s="675"/>
      <c r="B12" s="677"/>
      <c r="C12" s="678"/>
      <c r="D12" s="678"/>
      <c r="E12" s="678"/>
      <c r="F12" s="678"/>
      <c r="G12" s="678"/>
      <c r="H12" s="679"/>
    </row>
    <row r="13" spans="1:8">
      <c r="A13" s="675"/>
      <c r="B13" s="685" t="s">
        <v>193</v>
      </c>
      <c r="C13" s="686"/>
      <c r="D13" s="73"/>
      <c r="E13" s="75">
        <f>SUM(E4:E11)</f>
        <v>516.07000000000005</v>
      </c>
      <c r="F13" s="681"/>
      <c r="G13" s="682"/>
      <c r="H13" s="683"/>
    </row>
    <row r="14" spans="1:8">
      <c r="A14" s="675"/>
      <c r="B14" s="676" t="s">
        <v>194</v>
      </c>
      <c r="C14" s="676"/>
      <c r="D14" s="676"/>
      <c r="E14" s="676"/>
      <c r="F14" s="676"/>
      <c r="G14" s="676"/>
      <c r="H14" s="56">
        <f>SUM(H4:H11)</f>
        <v>2979.63</v>
      </c>
    </row>
    <row r="16" spans="1:8">
      <c r="A16" s="680" t="s">
        <v>195</v>
      </c>
      <c r="B16" s="680"/>
      <c r="C16" s="680"/>
      <c r="D16" s="680"/>
      <c r="E16" s="680"/>
      <c r="F16" s="680"/>
      <c r="G16" s="680"/>
      <c r="H16" s="680"/>
    </row>
    <row r="17" spans="1:8">
      <c r="A17" s="667" t="s">
        <v>196</v>
      </c>
      <c r="B17" s="668"/>
      <c r="C17" s="668"/>
      <c r="D17" s="668"/>
      <c r="E17" s="668"/>
      <c r="F17" s="668"/>
      <c r="G17" s="669"/>
      <c r="H17" s="58">
        <f>H14</f>
        <v>2979.63</v>
      </c>
    </row>
    <row r="18" spans="1:8">
      <c r="A18" s="667" t="s">
        <v>197</v>
      </c>
      <c r="B18" s="668"/>
      <c r="C18" s="669"/>
      <c r="D18" s="670">
        <v>12</v>
      </c>
      <c r="E18" s="671"/>
      <c r="F18" s="671"/>
      <c r="G18" s="66" t="s">
        <v>198</v>
      </c>
      <c r="H18" s="67">
        <f>H17*D18</f>
        <v>35755.56</v>
      </c>
    </row>
  </sheetData>
  <mergeCells count="14">
    <mergeCell ref="A17:G17"/>
    <mergeCell ref="A18:C18"/>
    <mergeCell ref="D18:F18"/>
    <mergeCell ref="A1:H1"/>
    <mergeCell ref="A4:A14"/>
    <mergeCell ref="B14:G14"/>
    <mergeCell ref="B12:H12"/>
    <mergeCell ref="A16:H16"/>
    <mergeCell ref="B3:C3"/>
    <mergeCell ref="F13:H13"/>
    <mergeCell ref="B4:B5"/>
    <mergeCell ref="B7:B9"/>
    <mergeCell ref="B13:C13"/>
    <mergeCell ref="B10:H10"/>
  </mergeCells>
  <phoneticPr fontId="17" type="noConversion"/>
  <pageMargins left="0.511811024" right="0.511811024" top="0.78740157499999996" bottom="0.78740157499999996" header="0.31496062000000002" footer="0.31496062000000002"/>
  <pageSetup paperSize="9" scale="93"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T172"/>
  <sheetViews>
    <sheetView showGridLines="0" showZeros="0" topLeftCell="A34" zoomScaleNormal="100" zoomScaleSheetLayoutView="70" zoomScalePageLayoutView="60" workbookViewId="0">
      <selection activeCell="K26" sqref="K26"/>
    </sheetView>
  </sheetViews>
  <sheetFormatPr defaultColWidth="8.7109375" defaultRowHeight="15"/>
  <cols>
    <col min="1" max="1" width="7.140625" style="115" customWidth="1"/>
    <col min="2" max="2" width="6.7109375" style="115" customWidth="1"/>
    <col min="3" max="3" width="6.28515625" style="115" customWidth="1"/>
    <col min="4" max="4" width="8.7109375" style="115"/>
    <col min="5" max="5" width="11.28515625" style="115" customWidth="1"/>
    <col min="6" max="6" width="19.140625" style="115" customWidth="1"/>
    <col min="7" max="8" width="10.7109375" style="115" customWidth="1"/>
    <col min="9" max="9" width="8.7109375" style="115"/>
    <col min="10" max="10" width="7" style="115" customWidth="1"/>
    <col min="11" max="11" width="37.140625" style="124" customWidth="1"/>
    <col min="12" max="12" width="3.42578125" style="115" customWidth="1"/>
    <col min="13" max="13" width="11.140625" style="116" bestFit="1" customWidth="1"/>
    <col min="14" max="14" width="11.7109375" style="116" bestFit="1" customWidth="1"/>
    <col min="15" max="19" width="8.7109375" style="116"/>
    <col min="20" max="20" width="19.5703125" style="116" customWidth="1"/>
    <col min="21" max="16384" width="8.7109375" style="115"/>
  </cols>
  <sheetData>
    <row r="1" spans="1:12" ht="21.75" customHeight="1">
      <c r="A1" s="416" t="s">
        <v>821</v>
      </c>
      <c r="B1" s="416"/>
      <c r="C1" s="416"/>
      <c r="D1" s="416"/>
      <c r="E1" s="416"/>
      <c r="F1" s="416"/>
      <c r="G1" s="416"/>
      <c r="H1" s="416"/>
      <c r="I1" s="416"/>
      <c r="J1" s="416"/>
      <c r="K1" s="416"/>
    </row>
    <row r="2" spans="1:12" ht="6.75" customHeight="1">
      <c r="A2" s="417"/>
      <c r="B2" s="417"/>
      <c r="C2" s="417"/>
      <c r="D2" s="417"/>
      <c r="E2" s="417"/>
      <c r="F2" s="417"/>
      <c r="G2" s="417"/>
      <c r="H2" s="417"/>
      <c r="I2" s="417"/>
      <c r="J2" s="417"/>
      <c r="K2" s="417"/>
    </row>
    <row r="3" spans="1:12" ht="17.25" customHeight="1">
      <c r="A3" s="419" t="s">
        <v>75</v>
      </c>
      <c r="B3" s="419"/>
      <c r="C3" s="419"/>
      <c r="D3" s="403" t="s">
        <v>269</v>
      </c>
      <c r="E3" s="403"/>
      <c r="F3" s="403"/>
      <c r="G3" s="403"/>
      <c r="H3" s="403"/>
      <c r="I3" s="403"/>
      <c r="J3" s="403"/>
      <c r="K3" s="403"/>
    </row>
    <row r="4" spans="1:12" ht="17.25" customHeight="1">
      <c r="A4" s="419" t="s">
        <v>95</v>
      </c>
      <c r="B4" s="419"/>
      <c r="C4" s="419"/>
      <c r="D4" s="420"/>
      <c r="E4" s="420"/>
      <c r="F4" s="420"/>
      <c r="G4" s="420"/>
      <c r="H4" s="420"/>
      <c r="I4" s="420"/>
      <c r="J4" s="420"/>
      <c r="K4" s="420"/>
    </row>
    <row r="5" spans="1:12" ht="17.25" customHeight="1">
      <c r="A5" s="419" t="s">
        <v>96</v>
      </c>
      <c r="B5" s="419"/>
      <c r="C5" s="419"/>
      <c r="D5" s="420"/>
      <c r="E5" s="420"/>
      <c r="F5" s="420"/>
      <c r="G5" s="420"/>
      <c r="H5" s="420"/>
      <c r="I5" s="420"/>
      <c r="J5" s="420"/>
      <c r="K5" s="420"/>
    </row>
    <row r="6" spans="1:12" ht="17.25" customHeight="1">
      <c r="A6" s="419" t="s">
        <v>159</v>
      </c>
      <c r="B6" s="419"/>
      <c r="C6" s="419"/>
      <c r="D6" s="403" t="s">
        <v>268</v>
      </c>
      <c r="E6" s="403"/>
      <c r="F6" s="403"/>
      <c r="G6" s="403"/>
      <c r="H6" s="403"/>
      <c r="I6" s="403"/>
      <c r="J6" s="403"/>
      <c r="K6" s="403"/>
    </row>
    <row r="7" spans="1:12" ht="6.75" customHeight="1">
      <c r="A7" s="418"/>
      <c r="B7" s="418"/>
      <c r="C7" s="418"/>
      <c r="D7" s="418"/>
      <c r="E7" s="418"/>
      <c r="F7" s="418"/>
      <c r="G7" s="418"/>
      <c r="H7" s="418"/>
      <c r="I7" s="418"/>
      <c r="J7" s="418"/>
      <c r="K7" s="418"/>
    </row>
    <row r="8" spans="1:12" ht="6.75" customHeight="1">
      <c r="A8" s="408"/>
      <c r="B8" s="408"/>
      <c r="C8" s="408"/>
      <c r="D8" s="408"/>
      <c r="E8" s="408"/>
      <c r="F8" s="408"/>
      <c r="G8" s="408"/>
      <c r="H8" s="408"/>
      <c r="I8" s="408"/>
      <c r="J8" s="408"/>
      <c r="K8" s="408"/>
    </row>
    <row r="9" spans="1:12" ht="17.25" customHeight="1">
      <c r="A9" s="390" t="s">
        <v>0</v>
      </c>
      <c r="B9" s="390"/>
      <c r="C9" s="390"/>
      <c r="D9" s="390"/>
      <c r="E9" s="390"/>
      <c r="F9" s="390"/>
      <c r="G9" s="390"/>
      <c r="H9" s="390"/>
      <c r="I9" s="390"/>
      <c r="J9" s="390"/>
      <c r="K9" s="390"/>
    </row>
    <row r="10" spans="1:12" ht="17.25" customHeight="1">
      <c r="A10" s="313" t="s">
        <v>1</v>
      </c>
      <c r="B10" s="380" t="s">
        <v>2</v>
      </c>
      <c r="C10" s="380"/>
      <c r="D10" s="380"/>
      <c r="E10" s="380"/>
      <c r="F10" s="380"/>
      <c r="G10" s="380"/>
      <c r="H10" s="380"/>
      <c r="I10" s="380"/>
      <c r="J10" s="380"/>
      <c r="K10" s="320"/>
    </row>
    <row r="11" spans="1:12" ht="16.5" customHeight="1">
      <c r="A11" s="313" t="s">
        <v>3</v>
      </c>
      <c r="B11" s="380" t="s">
        <v>4</v>
      </c>
      <c r="C11" s="380"/>
      <c r="D11" s="380"/>
      <c r="E11" s="380"/>
      <c r="F11" s="380"/>
      <c r="G11" s="380"/>
      <c r="H11" s="380"/>
      <c r="I11" s="380"/>
      <c r="J11" s="380"/>
      <c r="K11" s="312" t="s">
        <v>270</v>
      </c>
    </row>
    <row r="12" spans="1:12">
      <c r="A12" s="313" t="s">
        <v>5</v>
      </c>
      <c r="B12" s="380" t="s">
        <v>120</v>
      </c>
      <c r="C12" s="380"/>
      <c r="D12" s="380"/>
      <c r="E12" s="380"/>
      <c r="F12" s="380"/>
      <c r="G12" s="380"/>
      <c r="H12" s="380"/>
      <c r="I12" s="380"/>
      <c r="J12" s="380"/>
      <c r="K12" s="259" t="s">
        <v>271</v>
      </c>
    </row>
    <row r="13" spans="1:12" ht="16.5" customHeight="1">
      <c r="A13" s="313" t="s">
        <v>6</v>
      </c>
      <c r="B13" s="414" t="s">
        <v>77</v>
      </c>
      <c r="C13" s="414"/>
      <c r="D13" s="414"/>
      <c r="E13" s="414"/>
      <c r="F13" s="414"/>
      <c r="G13" s="414"/>
      <c r="H13" s="414"/>
      <c r="I13" s="414"/>
      <c r="J13" s="414"/>
      <c r="K13" s="312" t="s">
        <v>262</v>
      </c>
    </row>
    <row r="14" spans="1:12" ht="16.5" customHeight="1">
      <c r="A14" s="313" t="s">
        <v>8</v>
      </c>
      <c r="B14" s="414" t="s">
        <v>127</v>
      </c>
      <c r="C14" s="414"/>
      <c r="D14" s="414"/>
      <c r="E14" s="414"/>
      <c r="F14" s="414"/>
      <c r="G14" s="414"/>
      <c r="H14" s="414"/>
      <c r="I14" s="414"/>
      <c r="J14" s="414"/>
      <c r="K14" s="260" t="s">
        <v>223</v>
      </c>
    </row>
    <row r="15" spans="1:12" ht="16.5" customHeight="1">
      <c r="A15" s="313" t="s">
        <v>10</v>
      </c>
      <c r="B15" s="414" t="s">
        <v>7</v>
      </c>
      <c r="C15" s="414"/>
      <c r="D15" s="414"/>
      <c r="E15" s="414"/>
      <c r="F15" s="414"/>
      <c r="G15" s="414"/>
      <c r="H15" s="414"/>
      <c r="I15" s="414"/>
      <c r="J15" s="414"/>
      <c r="K15" s="312" t="s">
        <v>272</v>
      </c>
    </row>
    <row r="16" spans="1:12" ht="16.5" customHeight="1">
      <c r="A16" s="313" t="s">
        <v>11</v>
      </c>
      <c r="B16" s="414" t="s">
        <v>9</v>
      </c>
      <c r="C16" s="414"/>
      <c r="D16" s="414"/>
      <c r="E16" s="414"/>
      <c r="F16" s="414"/>
      <c r="G16" s="414"/>
      <c r="H16" s="414"/>
      <c r="I16" s="414"/>
      <c r="J16" s="414"/>
      <c r="K16" s="312" t="s">
        <v>273</v>
      </c>
      <c r="L16" s="117"/>
    </row>
    <row r="17" spans="1:20" ht="15.75" customHeight="1">
      <c r="A17" s="313" t="s">
        <v>12</v>
      </c>
      <c r="B17" s="414" t="s">
        <v>143</v>
      </c>
      <c r="C17" s="414"/>
      <c r="D17" s="414"/>
      <c r="E17" s="414"/>
      <c r="F17" s="414"/>
      <c r="G17" s="414"/>
      <c r="H17" s="414"/>
      <c r="I17" s="414"/>
      <c r="J17" s="414"/>
      <c r="K17" s="312">
        <v>1100</v>
      </c>
      <c r="L17" s="117"/>
    </row>
    <row r="18" spans="1:20" ht="16.5" customHeight="1">
      <c r="A18" s="313" t="s">
        <v>14</v>
      </c>
      <c r="B18" s="414" t="s">
        <v>162</v>
      </c>
      <c r="C18" s="414"/>
      <c r="D18" s="414"/>
      <c r="E18" s="414"/>
      <c r="F18" s="414"/>
      <c r="G18" s="414"/>
      <c r="H18" s="414"/>
      <c r="I18" s="414"/>
      <c r="J18" s="414"/>
      <c r="K18" s="314">
        <v>2030.19</v>
      </c>
    </row>
    <row r="19" spans="1:20">
      <c r="A19" s="313" t="s">
        <v>16</v>
      </c>
      <c r="B19" s="380" t="s">
        <v>84</v>
      </c>
      <c r="C19" s="380"/>
      <c r="D19" s="380"/>
      <c r="E19" s="380"/>
      <c r="F19" s="380"/>
      <c r="G19" s="380"/>
      <c r="H19" s="380"/>
      <c r="I19" s="380"/>
      <c r="J19" s="380"/>
      <c r="K19" s="279" t="s">
        <v>688</v>
      </c>
    </row>
    <row r="20" spans="1:20" ht="16.5" customHeight="1">
      <c r="A20" s="313" t="s">
        <v>76</v>
      </c>
      <c r="B20" s="380" t="s">
        <v>13</v>
      </c>
      <c r="C20" s="380"/>
      <c r="D20" s="380"/>
      <c r="E20" s="380"/>
      <c r="F20" s="380"/>
      <c r="G20" s="380"/>
      <c r="H20" s="380"/>
      <c r="I20" s="380"/>
      <c r="J20" s="380"/>
      <c r="K20" s="280" t="s">
        <v>819</v>
      </c>
    </row>
    <row r="21" spans="1:20" ht="17.25" customHeight="1">
      <c r="A21" s="313" t="s">
        <v>78</v>
      </c>
      <c r="B21" s="380" t="s">
        <v>15</v>
      </c>
      <c r="C21" s="380"/>
      <c r="D21" s="380"/>
      <c r="E21" s="380"/>
      <c r="F21" s="380"/>
      <c r="G21" s="380"/>
      <c r="H21" s="380"/>
      <c r="I21" s="380"/>
      <c r="J21" s="380"/>
      <c r="K21" s="281">
        <v>44317</v>
      </c>
    </row>
    <row r="22" spans="1:20" ht="17.25" customHeight="1">
      <c r="A22" s="313" t="s">
        <v>142</v>
      </c>
      <c r="B22" s="380" t="s">
        <v>17</v>
      </c>
      <c r="C22" s="380"/>
      <c r="D22" s="380"/>
      <c r="E22" s="380"/>
      <c r="F22" s="380"/>
      <c r="G22" s="380"/>
      <c r="H22" s="380"/>
      <c r="I22" s="380"/>
      <c r="J22" s="380"/>
      <c r="K22" s="261">
        <v>12</v>
      </c>
    </row>
    <row r="23" spans="1:20" ht="6.75" customHeight="1">
      <c r="A23" s="408"/>
      <c r="B23" s="408"/>
      <c r="C23" s="408"/>
      <c r="D23" s="408"/>
      <c r="E23" s="408"/>
      <c r="F23" s="408"/>
      <c r="G23" s="408"/>
      <c r="H23" s="408"/>
      <c r="I23" s="408"/>
      <c r="J23" s="408"/>
      <c r="K23" s="408"/>
    </row>
    <row r="24" spans="1:20" ht="17.25" customHeight="1">
      <c r="A24" s="390" t="s">
        <v>18</v>
      </c>
      <c r="B24" s="390"/>
      <c r="C24" s="390"/>
      <c r="D24" s="390"/>
      <c r="E24" s="390"/>
      <c r="F24" s="390"/>
      <c r="G24" s="390"/>
      <c r="H24" s="390"/>
      <c r="I24" s="390"/>
      <c r="J24" s="390"/>
      <c r="K24" s="390"/>
    </row>
    <row r="25" spans="1:20" ht="17.25" customHeight="1">
      <c r="A25" s="390"/>
      <c r="B25" s="390"/>
      <c r="C25" s="390"/>
      <c r="D25" s="390"/>
      <c r="E25" s="390"/>
      <c r="F25" s="390"/>
      <c r="G25" s="390"/>
      <c r="H25" s="390"/>
      <c r="I25" s="390"/>
      <c r="J25" s="390"/>
      <c r="K25" s="316" t="s">
        <v>20</v>
      </c>
    </row>
    <row r="26" spans="1:20" ht="17.25" customHeight="1">
      <c r="A26" s="313" t="s">
        <v>1</v>
      </c>
      <c r="B26" s="414" t="s">
        <v>21</v>
      </c>
      <c r="C26" s="414"/>
      <c r="D26" s="414"/>
      <c r="E26" s="414"/>
      <c r="F26" s="414"/>
      <c r="G26" s="414"/>
      <c r="H26" s="262">
        <v>220</v>
      </c>
      <c r="I26" s="377" t="s">
        <v>126</v>
      </c>
      <c r="J26" s="377"/>
      <c r="K26" s="314">
        <f>K18/220*H26</f>
        <v>2030.1900000000003</v>
      </c>
      <c r="M26" s="375"/>
      <c r="N26" s="375"/>
      <c r="O26" s="375"/>
      <c r="P26" s="375"/>
      <c r="Q26" s="375"/>
      <c r="R26" s="375"/>
      <c r="S26" s="375"/>
      <c r="T26" s="375"/>
    </row>
    <row r="27" spans="1:20" ht="17.25" customHeight="1">
      <c r="A27" s="313" t="s">
        <v>3</v>
      </c>
      <c r="B27" s="414" t="s">
        <v>98</v>
      </c>
      <c r="C27" s="414"/>
      <c r="D27" s="414"/>
      <c r="E27" s="414"/>
      <c r="F27" s="414"/>
      <c r="G27" s="414"/>
      <c r="H27" s="318">
        <v>0.3</v>
      </c>
      <c r="I27" s="377" t="s">
        <v>100</v>
      </c>
      <c r="J27" s="377"/>
      <c r="K27" s="312">
        <f>H27*K18</f>
        <v>609.05700000000002</v>
      </c>
      <c r="M27" s="212" t="s">
        <v>153</v>
      </c>
      <c r="N27" s="213"/>
      <c r="O27" s="213"/>
      <c r="P27" s="213"/>
      <c r="Q27" s="213"/>
      <c r="R27" s="213"/>
      <c r="S27" s="213"/>
      <c r="T27" s="214"/>
    </row>
    <row r="28" spans="1:20" ht="17.25" customHeight="1">
      <c r="A28" s="313" t="s">
        <v>5</v>
      </c>
      <c r="B28" s="414" t="s">
        <v>99</v>
      </c>
      <c r="C28" s="414"/>
      <c r="D28" s="414"/>
      <c r="E28" s="414"/>
      <c r="F28" s="414"/>
      <c r="G28" s="414"/>
      <c r="H28" s="318"/>
      <c r="I28" s="377" t="s">
        <v>100</v>
      </c>
      <c r="J28" s="377"/>
      <c r="K28" s="312">
        <f>H28*K17</f>
        <v>0</v>
      </c>
      <c r="M28" s="215" t="s">
        <v>153</v>
      </c>
      <c r="N28" s="216"/>
      <c r="O28" s="216"/>
      <c r="P28" s="216"/>
      <c r="Q28" s="216"/>
      <c r="R28" s="216"/>
      <c r="S28" s="216"/>
      <c r="T28" s="217"/>
    </row>
    <row r="29" spans="1:20" ht="17.25" customHeight="1">
      <c r="A29" s="313" t="s">
        <v>6</v>
      </c>
      <c r="B29" s="414" t="s">
        <v>101</v>
      </c>
      <c r="C29" s="414"/>
      <c r="D29" s="414"/>
      <c r="E29" s="414"/>
      <c r="F29" s="414"/>
      <c r="G29" s="414"/>
      <c r="H29" s="318"/>
      <c r="I29" s="377" t="s">
        <v>100</v>
      </c>
      <c r="J29" s="377"/>
      <c r="K29" s="312">
        <f>H29*K26</f>
        <v>0</v>
      </c>
    </row>
    <row r="30" spans="1:20" ht="17.25" customHeight="1">
      <c r="A30" s="313" t="s">
        <v>102</v>
      </c>
      <c r="B30" s="414" t="s">
        <v>103</v>
      </c>
      <c r="C30" s="414"/>
      <c r="D30" s="414"/>
      <c r="E30" s="414"/>
      <c r="F30" s="414"/>
      <c r="G30" s="414"/>
      <c r="H30" s="318"/>
      <c r="I30" s="377" t="s">
        <v>100</v>
      </c>
      <c r="J30" s="377"/>
      <c r="K30" s="312">
        <f>H30*K26</f>
        <v>0</v>
      </c>
    </row>
    <row r="31" spans="1:20" ht="17.25" customHeight="1">
      <c r="A31" s="377" t="s">
        <v>10</v>
      </c>
      <c r="B31" s="414" t="s">
        <v>140</v>
      </c>
      <c r="C31" s="414"/>
      <c r="D31" s="414"/>
      <c r="E31" s="414"/>
      <c r="F31" s="414"/>
      <c r="G31" s="413" t="s">
        <v>125</v>
      </c>
      <c r="H31" s="392" t="s">
        <v>123</v>
      </c>
      <c r="I31" s="413" t="s">
        <v>124</v>
      </c>
      <c r="J31" s="413"/>
      <c r="K31" s="391">
        <f>ROUND(I33*H33,2)</f>
        <v>0</v>
      </c>
      <c r="M31" s="381" t="s">
        <v>154</v>
      </c>
      <c r="N31" s="382"/>
      <c r="O31" s="382"/>
      <c r="P31" s="382"/>
      <c r="Q31" s="382"/>
      <c r="R31" s="382"/>
      <c r="S31" s="382"/>
      <c r="T31" s="383"/>
    </row>
    <row r="32" spans="1:20" ht="22.5" customHeight="1">
      <c r="A32" s="377"/>
      <c r="B32" s="414"/>
      <c r="C32" s="414"/>
      <c r="D32" s="414"/>
      <c r="E32" s="414"/>
      <c r="F32" s="414"/>
      <c r="G32" s="413"/>
      <c r="H32" s="392"/>
      <c r="I32" s="413"/>
      <c r="J32" s="413"/>
      <c r="K32" s="391"/>
      <c r="M32" s="384"/>
      <c r="N32" s="385"/>
      <c r="O32" s="385"/>
      <c r="P32" s="385"/>
      <c r="Q32" s="385"/>
      <c r="R32" s="385"/>
      <c r="S32" s="385"/>
      <c r="T32" s="386"/>
    </row>
    <row r="33" spans="1:20" ht="17.25" customHeight="1">
      <c r="A33" s="377"/>
      <c r="B33" s="414"/>
      <c r="C33" s="414"/>
      <c r="D33" s="414"/>
      <c r="E33" s="414"/>
      <c r="F33" s="414"/>
      <c r="G33" s="318"/>
      <c r="H33" s="262"/>
      <c r="I33" s="421">
        <f>(K26/H26)*(1+G33)</f>
        <v>9.2281363636363647</v>
      </c>
      <c r="J33" s="421"/>
      <c r="K33" s="391"/>
      <c r="M33" s="387"/>
      <c r="N33" s="388"/>
      <c r="O33" s="388"/>
      <c r="P33" s="388"/>
      <c r="Q33" s="388"/>
      <c r="R33" s="388"/>
      <c r="S33" s="388"/>
      <c r="T33" s="389"/>
    </row>
    <row r="34" spans="1:20" ht="17.25" customHeight="1">
      <c r="A34" s="313" t="s">
        <v>11</v>
      </c>
      <c r="B34" s="415" t="s">
        <v>22</v>
      </c>
      <c r="C34" s="415"/>
      <c r="D34" s="415"/>
      <c r="E34" s="415"/>
      <c r="F34" s="415"/>
      <c r="G34" s="415"/>
      <c r="H34" s="415"/>
      <c r="I34" s="415"/>
      <c r="J34" s="415"/>
      <c r="K34" s="314"/>
    </row>
    <row r="35" spans="1:20" ht="17.25" customHeight="1">
      <c r="A35" s="390" t="s">
        <v>23</v>
      </c>
      <c r="B35" s="390"/>
      <c r="C35" s="390"/>
      <c r="D35" s="390"/>
      <c r="E35" s="390"/>
      <c r="F35" s="390"/>
      <c r="G35" s="390"/>
      <c r="H35" s="390"/>
      <c r="I35" s="390"/>
      <c r="J35" s="390"/>
      <c r="K35" s="263">
        <f>ROUND(SUM(K26:K34),2)</f>
        <v>2639.25</v>
      </c>
    </row>
    <row r="36" spans="1:20" ht="6.75" customHeight="1">
      <c r="A36" s="408"/>
      <c r="B36" s="408"/>
      <c r="C36" s="408"/>
      <c r="D36" s="408"/>
      <c r="E36" s="408"/>
      <c r="F36" s="408"/>
      <c r="G36" s="408"/>
      <c r="H36" s="408"/>
      <c r="I36" s="408"/>
      <c r="J36" s="408"/>
      <c r="K36" s="408"/>
    </row>
    <row r="37" spans="1:20" ht="17.25" customHeight="1">
      <c r="A37" s="390" t="s">
        <v>24</v>
      </c>
      <c r="B37" s="390"/>
      <c r="C37" s="390"/>
      <c r="D37" s="390"/>
      <c r="E37" s="390"/>
      <c r="F37" s="390"/>
      <c r="G37" s="390"/>
      <c r="H37" s="390"/>
      <c r="I37" s="390"/>
      <c r="J37" s="390"/>
      <c r="K37" s="390"/>
    </row>
    <row r="38" spans="1:20" ht="17.25" customHeight="1">
      <c r="A38" s="373" t="s">
        <v>121</v>
      </c>
      <c r="B38" s="373"/>
      <c r="C38" s="373"/>
      <c r="D38" s="373"/>
      <c r="E38" s="373"/>
      <c r="F38" s="373"/>
      <c r="G38" s="373"/>
      <c r="H38" s="373"/>
      <c r="I38" s="373"/>
      <c r="J38" s="373"/>
      <c r="K38" s="373"/>
      <c r="M38" s="118"/>
    </row>
    <row r="39" spans="1:20" s="119" customFormat="1" ht="17.25" customHeight="1">
      <c r="A39" s="404"/>
      <c r="B39" s="404"/>
      <c r="C39" s="404"/>
      <c r="D39" s="404"/>
      <c r="E39" s="404"/>
      <c r="F39" s="404"/>
      <c r="G39" s="404"/>
      <c r="H39" s="404"/>
      <c r="I39" s="390" t="s">
        <v>25</v>
      </c>
      <c r="J39" s="390"/>
      <c r="K39" s="316" t="s">
        <v>20</v>
      </c>
      <c r="M39" s="116"/>
      <c r="N39" s="116"/>
      <c r="O39" s="116"/>
      <c r="P39" s="116"/>
      <c r="Q39" s="116"/>
      <c r="R39" s="116"/>
      <c r="S39" s="116"/>
      <c r="T39" s="116"/>
    </row>
    <row r="40" spans="1:20" ht="17.25" customHeight="1">
      <c r="A40" s="313" t="s">
        <v>1</v>
      </c>
      <c r="B40" s="380" t="s">
        <v>122</v>
      </c>
      <c r="C40" s="380"/>
      <c r="D40" s="380"/>
      <c r="E40" s="380"/>
      <c r="F40" s="380"/>
      <c r="G40" s="380"/>
      <c r="H40" s="380"/>
      <c r="I40" s="406">
        <f>ROUND(1/12,4)</f>
        <v>8.3299999999999999E-2</v>
      </c>
      <c r="J40" s="406"/>
      <c r="K40" s="315">
        <f>ROUND(I40*$K$35,2)</f>
        <v>219.85</v>
      </c>
      <c r="M40" s="394" t="s">
        <v>249</v>
      </c>
      <c r="N40" s="395"/>
      <c r="O40" s="395"/>
      <c r="P40" s="395"/>
      <c r="Q40" s="395"/>
      <c r="R40" s="395"/>
      <c r="S40" s="395"/>
      <c r="T40" s="396"/>
    </row>
    <row r="41" spans="1:20" ht="17.25" customHeight="1">
      <c r="A41" s="313" t="s">
        <v>3</v>
      </c>
      <c r="B41" s="414" t="s">
        <v>26</v>
      </c>
      <c r="C41" s="414"/>
      <c r="D41" s="414"/>
      <c r="E41" s="414"/>
      <c r="F41" s="414"/>
      <c r="G41" s="414"/>
      <c r="H41" s="414"/>
      <c r="I41" s="406">
        <f>ROUND(1/3/12,4)</f>
        <v>2.7799999999999998E-2</v>
      </c>
      <c r="J41" s="406"/>
      <c r="K41" s="315">
        <f>ROUND(I41*$K$35,2)</f>
        <v>73.37</v>
      </c>
      <c r="M41" s="397"/>
      <c r="N41" s="398"/>
      <c r="O41" s="398"/>
      <c r="P41" s="398"/>
      <c r="Q41" s="398"/>
      <c r="R41" s="398"/>
      <c r="S41" s="398"/>
      <c r="T41" s="399"/>
    </row>
    <row r="42" spans="1:20" ht="17.25" customHeight="1">
      <c r="A42" s="264" t="s">
        <v>5</v>
      </c>
      <c r="B42" s="424" t="s">
        <v>141</v>
      </c>
      <c r="C42" s="424"/>
      <c r="D42" s="424"/>
      <c r="E42" s="424"/>
      <c r="F42" s="424"/>
      <c r="G42" s="424"/>
      <c r="H42" s="424"/>
      <c r="I42" s="406">
        <f>ROUND(1/12,4)</f>
        <v>8.3299999999999999E-2</v>
      </c>
      <c r="J42" s="406"/>
      <c r="K42" s="322">
        <f>ROUND(I42*$K$35,2)</f>
        <v>219.85</v>
      </c>
      <c r="M42" s="400"/>
      <c r="N42" s="401"/>
      <c r="O42" s="401"/>
      <c r="P42" s="401"/>
      <c r="Q42" s="401"/>
      <c r="R42" s="401"/>
      <c r="S42" s="401"/>
      <c r="T42" s="402"/>
    </row>
    <row r="43" spans="1:20" ht="17.25" customHeight="1">
      <c r="A43" s="373" t="s">
        <v>27</v>
      </c>
      <c r="B43" s="373"/>
      <c r="C43" s="373"/>
      <c r="D43" s="373"/>
      <c r="E43" s="373"/>
      <c r="F43" s="373"/>
      <c r="G43" s="373"/>
      <c r="H43" s="373"/>
      <c r="I43" s="425">
        <f>SUM(I40:J42)</f>
        <v>0.19440000000000002</v>
      </c>
      <c r="J43" s="425"/>
      <c r="K43" s="265">
        <f>ROUND(SUM(K40:K42),2)</f>
        <v>513.07000000000005</v>
      </c>
    </row>
    <row r="44" spans="1:20" ht="6.75" customHeight="1">
      <c r="A44" s="417"/>
      <c r="B44" s="417"/>
      <c r="C44" s="417"/>
      <c r="D44" s="417"/>
      <c r="E44" s="417"/>
      <c r="F44" s="417"/>
      <c r="G44" s="417"/>
      <c r="H44" s="417"/>
      <c r="I44" s="417"/>
      <c r="J44" s="417"/>
      <c r="K44" s="417"/>
    </row>
    <row r="45" spans="1:20" ht="17.25" customHeight="1">
      <c r="A45" s="373" t="s">
        <v>28</v>
      </c>
      <c r="B45" s="373"/>
      <c r="C45" s="373"/>
      <c r="D45" s="373"/>
      <c r="E45" s="373"/>
      <c r="F45" s="373"/>
      <c r="G45" s="373"/>
      <c r="H45" s="373"/>
      <c r="I45" s="373"/>
      <c r="J45" s="373"/>
      <c r="K45" s="373"/>
    </row>
    <row r="46" spans="1:20" ht="17.25" customHeight="1">
      <c r="A46" s="427" t="s">
        <v>68</v>
      </c>
      <c r="B46" s="427"/>
      <c r="C46" s="427"/>
      <c r="D46" s="427"/>
      <c r="E46" s="427"/>
      <c r="F46" s="427"/>
      <c r="G46" s="427"/>
      <c r="H46" s="427"/>
      <c r="I46" s="427"/>
      <c r="J46" s="427"/>
      <c r="K46" s="265">
        <f>K35</f>
        <v>2639.25</v>
      </c>
    </row>
    <row r="47" spans="1:20" ht="17.25" customHeight="1">
      <c r="A47" s="426" t="s">
        <v>79</v>
      </c>
      <c r="B47" s="426"/>
      <c r="C47" s="426"/>
      <c r="D47" s="426"/>
      <c r="E47" s="426"/>
      <c r="F47" s="426"/>
      <c r="G47" s="426"/>
      <c r="H47" s="426"/>
      <c r="I47" s="426"/>
      <c r="J47" s="426"/>
      <c r="K47" s="265">
        <f>K43</f>
        <v>513.07000000000005</v>
      </c>
    </row>
    <row r="48" spans="1:20" ht="17.25" customHeight="1">
      <c r="A48" s="426" t="s">
        <v>80</v>
      </c>
      <c r="B48" s="426"/>
      <c r="C48" s="426"/>
      <c r="D48" s="426"/>
      <c r="E48" s="426"/>
      <c r="F48" s="426"/>
      <c r="G48" s="426"/>
      <c r="H48" s="426"/>
      <c r="I48" s="426"/>
      <c r="J48" s="426"/>
      <c r="K48" s="265">
        <f>SUM(K46:K47)</f>
        <v>3152.32</v>
      </c>
    </row>
    <row r="49" spans="1:20" s="119" customFormat="1" ht="17.25" customHeight="1">
      <c r="A49" s="404"/>
      <c r="B49" s="404"/>
      <c r="C49" s="404"/>
      <c r="D49" s="404"/>
      <c r="E49" s="404"/>
      <c r="F49" s="404"/>
      <c r="G49" s="404"/>
      <c r="H49" s="404"/>
      <c r="I49" s="390" t="s">
        <v>25</v>
      </c>
      <c r="J49" s="390"/>
      <c r="K49" s="316" t="s">
        <v>20</v>
      </c>
      <c r="M49" s="120"/>
      <c r="N49" s="120"/>
      <c r="O49" s="120"/>
      <c r="P49" s="120"/>
      <c r="Q49" s="120"/>
      <c r="R49" s="120"/>
      <c r="S49" s="116"/>
      <c r="T49" s="116"/>
    </row>
    <row r="50" spans="1:20" ht="17.25" customHeight="1">
      <c r="A50" s="313" t="s">
        <v>1</v>
      </c>
      <c r="B50" s="380" t="s">
        <v>144</v>
      </c>
      <c r="C50" s="380"/>
      <c r="D50" s="380"/>
      <c r="E50" s="380"/>
      <c r="F50" s="380"/>
      <c r="G50" s="380"/>
      <c r="H50" s="380"/>
      <c r="I50" s="405">
        <v>0.2</v>
      </c>
      <c r="J50" s="405"/>
      <c r="K50" s="315">
        <f>ROUND(I50*$K$48,2)</f>
        <v>630.46</v>
      </c>
    </row>
    <row r="51" spans="1:20" ht="17.25" customHeight="1">
      <c r="A51" s="313" t="s">
        <v>3</v>
      </c>
      <c r="B51" s="380" t="s">
        <v>145</v>
      </c>
      <c r="C51" s="380"/>
      <c r="D51" s="380"/>
      <c r="E51" s="380"/>
      <c r="F51" s="380"/>
      <c r="G51" s="380"/>
      <c r="H51" s="380"/>
      <c r="I51" s="405">
        <v>2.5000000000000001E-2</v>
      </c>
      <c r="J51" s="405"/>
      <c r="K51" s="315">
        <f t="shared" ref="K51:K57" si="0">ROUND(I51*$K$48,2)</f>
        <v>78.81</v>
      </c>
    </row>
    <row r="52" spans="1:20" ht="17.25" customHeight="1">
      <c r="A52" s="429" t="s">
        <v>5</v>
      </c>
      <c r="B52" s="411" t="s">
        <v>146</v>
      </c>
      <c r="C52" s="411"/>
      <c r="D52" s="411"/>
      <c r="E52" s="411"/>
      <c r="F52" s="411"/>
      <c r="G52" s="266" t="s">
        <v>118</v>
      </c>
      <c r="H52" s="266" t="s">
        <v>119</v>
      </c>
      <c r="I52" s="406">
        <f>(G53*H53)*100</f>
        <v>0.03</v>
      </c>
      <c r="J52" s="406"/>
      <c r="K52" s="428">
        <f t="shared" si="0"/>
        <v>94.57</v>
      </c>
      <c r="M52" s="446" t="s">
        <v>260</v>
      </c>
      <c r="N52" s="447"/>
      <c r="O52" s="447"/>
      <c r="P52" s="447"/>
      <c r="Q52" s="447"/>
      <c r="R52" s="447"/>
      <c r="S52" s="447"/>
      <c r="T52" s="448"/>
    </row>
    <row r="53" spans="1:20" ht="17.25" customHeight="1">
      <c r="A53" s="429"/>
      <c r="B53" s="411"/>
      <c r="C53" s="411"/>
      <c r="D53" s="411"/>
      <c r="E53" s="411"/>
      <c r="F53" s="411"/>
      <c r="G53" s="317">
        <v>0.03</v>
      </c>
      <c r="H53" s="284">
        <v>0.01</v>
      </c>
      <c r="I53" s="406"/>
      <c r="J53" s="406"/>
      <c r="K53" s="428"/>
      <c r="M53" s="449"/>
      <c r="N53" s="450"/>
      <c r="O53" s="450"/>
      <c r="P53" s="450"/>
      <c r="Q53" s="450"/>
      <c r="R53" s="450"/>
      <c r="S53" s="450"/>
      <c r="T53" s="451"/>
    </row>
    <row r="54" spans="1:20" ht="17.25" customHeight="1">
      <c r="A54" s="313" t="s">
        <v>6</v>
      </c>
      <c r="B54" s="380" t="s">
        <v>147</v>
      </c>
      <c r="C54" s="380"/>
      <c r="D54" s="380"/>
      <c r="E54" s="380"/>
      <c r="F54" s="380"/>
      <c r="G54" s="380"/>
      <c r="H54" s="380"/>
      <c r="I54" s="405">
        <v>1.4999999999999999E-2</v>
      </c>
      <c r="J54" s="405"/>
      <c r="K54" s="315">
        <f t="shared" si="0"/>
        <v>47.28</v>
      </c>
    </row>
    <row r="55" spans="1:20" ht="17.25" customHeight="1">
      <c r="A55" s="313" t="s">
        <v>8</v>
      </c>
      <c r="B55" s="380" t="s">
        <v>148</v>
      </c>
      <c r="C55" s="380"/>
      <c r="D55" s="380"/>
      <c r="E55" s="380"/>
      <c r="F55" s="380"/>
      <c r="G55" s="380"/>
      <c r="H55" s="380"/>
      <c r="I55" s="405">
        <v>0.01</v>
      </c>
      <c r="J55" s="405"/>
      <c r="K55" s="315">
        <f t="shared" si="0"/>
        <v>31.52</v>
      </c>
    </row>
    <row r="56" spans="1:20" ht="17.25" customHeight="1">
      <c r="A56" s="313" t="s">
        <v>10</v>
      </c>
      <c r="B56" s="380" t="s">
        <v>149</v>
      </c>
      <c r="C56" s="380"/>
      <c r="D56" s="380"/>
      <c r="E56" s="380"/>
      <c r="F56" s="380"/>
      <c r="G56" s="380"/>
      <c r="H56" s="380"/>
      <c r="I56" s="405">
        <v>6.0000000000000001E-3</v>
      </c>
      <c r="J56" s="405"/>
      <c r="K56" s="315">
        <f t="shared" si="0"/>
        <v>18.91</v>
      </c>
    </row>
    <row r="57" spans="1:20" ht="17.25" customHeight="1">
      <c r="A57" s="313" t="s">
        <v>11</v>
      </c>
      <c r="B57" s="380" t="s">
        <v>150</v>
      </c>
      <c r="C57" s="380"/>
      <c r="D57" s="380"/>
      <c r="E57" s="380"/>
      <c r="F57" s="380"/>
      <c r="G57" s="380"/>
      <c r="H57" s="380"/>
      <c r="I57" s="405">
        <v>2E-3</v>
      </c>
      <c r="J57" s="405"/>
      <c r="K57" s="315">
        <f t="shared" si="0"/>
        <v>6.3</v>
      </c>
    </row>
    <row r="58" spans="1:20" ht="17.25" customHeight="1">
      <c r="A58" s="313" t="s">
        <v>12</v>
      </c>
      <c r="B58" s="380" t="s">
        <v>151</v>
      </c>
      <c r="C58" s="380"/>
      <c r="D58" s="380"/>
      <c r="E58" s="380"/>
      <c r="F58" s="380"/>
      <c r="G58" s="380"/>
      <c r="H58" s="380"/>
      <c r="I58" s="405">
        <v>0.08</v>
      </c>
      <c r="J58" s="405"/>
      <c r="K58" s="315">
        <f>ROUND(I58*$K$48,2)</f>
        <v>252.19</v>
      </c>
    </row>
    <row r="59" spans="1:20" ht="17.25" customHeight="1">
      <c r="A59" s="373" t="s">
        <v>29</v>
      </c>
      <c r="B59" s="373"/>
      <c r="C59" s="373"/>
      <c r="D59" s="373"/>
      <c r="E59" s="373"/>
      <c r="F59" s="373"/>
      <c r="G59" s="373"/>
      <c r="H59" s="373"/>
      <c r="I59" s="425">
        <f>SUM(I50:J58)</f>
        <v>0.36800000000000005</v>
      </c>
      <c r="J59" s="425"/>
      <c r="K59" s="265">
        <f>ROUND(SUM(K50:K58),2)</f>
        <v>1160.04</v>
      </c>
    </row>
    <row r="60" spans="1:20" ht="5.25" customHeight="1">
      <c r="A60" s="410"/>
      <c r="B60" s="410"/>
      <c r="C60" s="410"/>
      <c r="D60" s="410"/>
      <c r="E60" s="410"/>
      <c r="F60" s="410"/>
      <c r="G60" s="410"/>
      <c r="H60" s="410"/>
      <c r="I60" s="410"/>
      <c r="J60" s="410"/>
      <c r="K60" s="410"/>
    </row>
    <row r="61" spans="1:20" ht="17.25" customHeight="1">
      <c r="A61" s="373" t="s">
        <v>30</v>
      </c>
      <c r="B61" s="373"/>
      <c r="C61" s="373"/>
      <c r="D61" s="373"/>
      <c r="E61" s="373"/>
      <c r="F61" s="373"/>
      <c r="G61" s="373"/>
      <c r="H61" s="373"/>
      <c r="I61" s="373"/>
      <c r="J61" s="373"/>
      <c r="K61" s="373"/>
      <c r="M61" s="431" t="s">
        <v>155</v>
      </c>
      <c r="N61" s="432"/>
      <c r="O61" s="432"/>
      <c r="P61" s="432"/>
      <c r="Q61" s="432"/>
      <c r="R61" s="432"/>
      <c r="S61" s="432"/>
      <c r="T61" s="433"/>
    </row>
    <row r="62" spans="1:20" ht="17.25" customHeight="1">
      <c r="A62" s="412"/>
      <c r="B62" s="412"/>
      <c r="C62" s="412"/>
      <c r="D62" s="412"/>
      <c r="E62" s="412"/>
      <c r="F62" s="412"/>
      <c r="G62" s="412"/>
      <c r="H62" s="412"/>
      <c r="I62" s="412"/>
      <c r="J62" s="412"/>
      <c r="K62" s="316" t="s">
        <v>20</v>
      </c>
      <c r="M62" s="434"/>
      <c r="N62" s="435"/>
      <c r="O62" s="435"/>
      <c r="P62" s="435"/>
      <c r="Q62" s="435"/>
      <c r="R62" s="435"/>
      <c r="S62" s="435"/>
      <c r="T62" s="436"/>
    </row>
    <row r="63" spans="1:20" ht="17.25" customHeight="1">
      <c r="A63" s="377" t="s">
        <v>1</v>
      </c>
      <c r="B63" s="393" t="s">
        <v>128</v>
      </c>
      <c r="C63" s="393"/>
      <c r="D63" s="393"/>
      <c r="E63" s="393"/>
      <c r="F63" s="393"/>
      <c r="G63" s="376"/>
      <c r="H63" s="376"/>
      <c r="I63" s="376"/>
      <c r="J63" s="376"/>
      <c r="K63" s="379">
        <f>ROUND((B65*E65*F65)-G65,2)</f>
        <v>214.79</v>
      </c>
    </row>
    <row r="64" spans="1:20" ht="17.25" customHeight="1">
      <c r="A64" s="377"/>
      <c r="B64" s="409" t="s">
        <v>34</v>
      </c>
      <c r="C64" s="409"/>
      <c r="D64" s="409"/>
      <c r="E64" s="313" t="s">
        <v>32</v>
      </c>
      <c r="F64" s="319" t="s">
        <v>35</v>
      </c>
      <c r="G64" s="409" t="s">
        <v>139</v>
      </c>
      <c r="H64" s="409"/>
      <c r="I64" s="409"/>
      <c r="J64" s="409"/>
      <c r="K64" s="379"/>
    </row>
    <row r="65" spans="1:20" ht="17.25" customHeight="1">
      <c r="A65" s="377"/>
      <c r="B65" s="423">
        <v>2</v>
      </c>
      <c r="C65" s="423"/>
      <c r="D65" s="423"/>
      <c r="E65" s="282">
        <v>22</v>
      </c>
      <c r="F65" s="314">
        <v>7.65</v>
      </c>
      <c r="G65" s="379">
        <f>0.06*K26</f>
        <v>121.81140000000001</v>
      </c>
      <c r="H65" s="379"/>
      <c r="I65" s="379"/>
      <c r="J65" s="379"/>
      <c r="K65" s="379"/>
    </row>
    <row r="66" spans="1:20" ht="17.25" customHeight="1">
      <c r="A66" s="377" t="s">
        <v>3</v>
      </c>
      <c r="B66" s="410" t="s">
        <v>81</v>
      </c>
      <c r="C66" s="410"/>
      <c r="D66" s="410"/>
      <c r="E66" s="410"/>
      <c r="F66" s="410"/>
      <c r="G66" s="376" t="s">
        <v>689</v>
      </c>
      <c r="H66" s="376"/>
      <c r="I66" s="376"/>
      <c r="J66" s="376"/>
      <c r="K66" s="379">
        <f>ROUND((B68-G68)*F68,2)</f>
        <v>512.04999999999995</v>
      </c>
      <c r="M66" s="437" t="s">
        <v>132</v>
      </c>
      <c r="N66" s="438"/>
      <c r="O66" s="438"/>
      <c r="P66" s="438"/>
      <c r="Q66" s="438"/>
      <c r="R66" s="438"/>
      <c r="S66" s="438"/>
      <c r="T66" s="439"/>
    </row>
    <row r="67" spans="1:20" ht="17.25" customHeight="1">
      <c r="A67" s="377"/>
      <c r="B67" s="377" t="s">
        <v>82</v>
      </c>
      <c r="C67" s="377"/>
      <c r="D67" s="377"/>
      <c r="E67" s="377"/>
      <c r="F67" s="313" t="s">
        <v>32</v>
      </c>
      <c r="G67" s="377" t="s">
        <v>131</v>
      </c>
      <c r="H67" s="377"/>
      <c r="I67" s="377"/>
      <c r="J67" s="377"/>
      <c r="K67" s="379"/>
      <c r="M67" s="440"/>
      <c r="N67" s="441"/>
      <c r="O67" s="441"/>
      <c r="P67" s="441"/>
      <c r="Q67" s="441"/>
      <c r="R67" s="441"/>
      <c r="S67" s="441"/>
      <c r="T67" s="442"/>
    </row>
    <row r="68" spans="1:20" ht="17.25" customHeight="1">
      <c r="A68" s="377"/>
      <c r="B68" s="430">
        <v>24.5</v>
      </c>
      <c r="C68" s="430"/>
      <c r="D68" s="430"/>
      <c r="E68" s="430"/>
      <c r="F68" s="282">
        <f>E65</f>
        <v>22</v>
      </c>
      <c r="G68" s="378">
        <f>B68*5%</f>
        <v>1.2250000000000001</v>
      </c>
      <c r="H68" s="378"/>
      <c r="I68" s="378"/>
      <c r="J68" s="378"/>
      <c r="K68" s="379"/>
      <c r="M68" s="443"/>
      <c r="N68" s="444"/>
      <c r="O68" s="444"/>
      <c r="P68" s="444"/>
      <c r="Q68" s="444"/>
      <c r="R68" s="444"/>
      <c r="S68" s="444"/>
      <c r="T68" s="445"/>
    </row>
    <row r="69" spans="1:20" ht="17.25" customHeight="1">
      <c r="A69" s="377" t="s">
        <v>5</v>
      </c>
      <c r="B69" s="410" t="s">
        <v>31</v>
      </c>
      <c r="C69" s="410"/>
      <c r="D69" s="410"/>
      <c r="E69" s="410"/>
      <c r="F69" s="410"/>
      <c r="G69" s="376" t="s">
        <v>689</v>
      </c>
      <c r="H69" s="376"/>
      <c r="I69" s="376"/>
      <c r="J69" s="376"/>
      <c r="K69" s="315"/>
    </row>
    <row r="70" spans="1:20" ht="17.25" customHeight="1">
      <c r="A70" s="377"/>
      <c r="B70" s="377" t="s">
        <v>82</v>
      </c>
      <c r="C70" s="377"/>
      <c r="D70" s="377"/>
      <c r="E70" s="377"/>
      <c r="F70" s="377"/>
      <c r="G70" s="377" t="s">
        <v>33</v>
      </c>
      <c r="H70" s="377"/>
      <c r="I70" s="377"/>
      <c r="J70" s="377"/>
      <c r="K70" s="379">
        <f>B71-G71</f>
        <v>0</v>
      </c>
    </row>
    <row r="71" spans="1:20" ht="17.25" customHeight="1">
      <c r="A71" s="377"/>
      <c r="B71" s="376"/>
      <c r="C71" s="376"/>
      <c r="D71" s="376"/>
      <c r="E71" s="376"/>
      <c r="F71" s="376"/>
      <c r="G71" s="376">
        <v>0</v>
      </c>
      <c r="H71" s="376"/>
      <c r="I71" s="376"/>
      <c r="J71" s="376"/>
      <c r="K71" s="379"/>
    </row>
    <row r="72" spans="1:20" ht="17.25" customHeight="1">
      <c r="A72" s="313" t="s">
        <v>6</v>
      </c>
      <c r="B72" s="378" t="s">
        <v>83</v>
      </c>
      <c r="C72" s="378"/>
      <c r="D72" s="378"/>
      <c r="E72" s="378"/>
      <c r="F72" s="378"/>
      <c r="G72" s="378"/>
      <c r="H72" s="378"/>
      <c r="I72" s="378"/>
      <c r="J72" s="378"/>
      <c r="K72" s="314"/>
    </row>
    <row r="73" spans="1:20" ht="17.25" customHeight="1">
      <c r="A73" s="373" t="s">
        <v>36</v>
      </c>
      <c r="B73" s="373"/>
      <c r="C73" s="373"/>
      <c r="D73" s="373"/>
      <c r="E73" s="373"/>
      <c r="F73" s="373"/>
      <c r="G73" s="373"/>
      <c r="H73" s="373"/>
      <c r="I73" s="373"/>
      <c r="J73" s="373"/>
      <c r="K73" s="265">
        <f>ROUND(SUM(K62:K72),2)</f>
        <v>726.84</v>
      </c>
    </row>
    <row r="74" spans="1:20" ht="17.25" customHeight="1">
      <c r="A74" s="390" t="s">
        <v>37</v>
      </c>
      <c r="B74" s="390"/>
      <c r="C74" s="390"/>
      <c r="D74" s="390"/>
      <c r="E74" s="390"/>
      <c r="F74" s="390"/>
      <c r="G74" s="390"/>
      <c r="H74" s="390"/>
      <c r="I74" s="390"/>
      <c r="J74" s="390"/>
      <c r="K74" s="263">
        <f>ROUND(SUM(K73,K59,K43),2)</f>
        <v>2399.9499999999998</v>
      </c>
    </row>
    <row r="75" spans="1:20" ht="6.75" customHeight="1">
      <c r="A75" s="408"/>
      <c r="B75" s="408"/>
      <c r="C75" s="408"/>
      <c r="D75" s="408"/>
      <c r="E75" s="408"/>
      <c r="F75" s="408"/>
      <c r="G75" s="408"/>
      <c r="H75" s="408"/>
      <c r="I75" s="408"/>
      <c r="J75" s="408"/>
      <c r="K75" s="408"/>
    </row>
    <row r="76" spans="1:20" ht="17.25" customHeight="1">
      <c r="A76" s="407" t="s">
        <v>38</v>
      </c>
      <c r="B76" s="407"/>
      <c r="C76" s="407"/>
      <c r="D76" s="407"/>
      <c r="E76" s="407"/>
      <c r="F76" s="407"/>
      <c r="G76" s="407"/>
      <c r="H76" s="407"/>
      <c r="I76" s="407"/>
      <c r="J76" s="407"/>
      <c r="K76" s="407"/>
      <c r="M76" s="385"/>
      <c r="N76" s="385"/>
      <c r="O76" s="385"/>
      <c r="P76" s="385"/>
      <c r="Q76" s="385"/>
      <c r="R76" s="385"/>
      <c r="S76" s="385"/>
      <c r="T76" s="385"/>
    </row>
    <row r="77" spans="1:20" ht="17.25" customHeight="1">
      <c r="A77" s="373" t="s">
        <v>250</v>
      </c>
      <c r="B77" s="373"/>
      <c r="C77" s="373"/>
      <c r="D77" s="373"/>
      <c r="E77" s="373"/>
      <c r="F77" s="373"/>
      <c r="G77" s="373"/>
      <c r="H77" s="373"/>
      <c r="I77" s="373"/>
      <c r="J77" s="373"/>
      <c r="K77" s="373"/>
      <c r="M77" s="385"/>
      <c r="N77" s="385"/>
      <c r="O77" s="385"/>
      <c r="P77" s="385"/>
      <c r="Q77" s="385"/>
      <c r="R77" s="385"/>
      <c r="S77" s="385"/>
      <c r="T77" s="385"/>
    </row>
    <row r="78" spans="1:20" ht="17.25" customHeight="1">
      <c r="A78" s="374" t="s">
        <v>68</v>
      </c>
      <c r="B78" s="374"/>
      <c r="C78" s="374"/>
      <c r="D78" s="374"/>
      <c r="E78" s="374"/>
      <c r="F78" s="374"/>
      <c r="G78" s="374"/>
      <c r="H78" s="374"/>
      <c r="I78" s="374"/>
      <c r="J78" s="374"/>
      <c r="K78" s="272">
        <f>K35</f>
        <v>2639.25</v>
      </c>
      <c r="M78" s="385"/>
      <c r="N78" s="385"/>
      <c r="O78" s="385"/>
      <c r="P78" s="385"/>
      <c r="Q78" s="385"/>
      <c r="R78" s="385"/>
      <c r="S78" s="385"/>
      <c r="T78" s="385"/>
    </row>
    <row r="79" spans="1:20" ht="17.25" customHeight="1">
      <c r="A79" s="374" t="s">
        <v>251</v>
      </c>
      <c r="B79" s="374"/>
      <c r="C79" s="374"/>
      <c r="D79" s="374"/>
      <c r="E79" s="374"/>
      <c r="F79" s="374"/>
      <c r="G79" s="374"/>
      <c r="H79" s="374"/>
      <c r="I79" s="374"/>
      <c r="J79" s="374"/>
      <c r="K79" s="272">
        <f>K43</f>
        <v>513.07000000000005</v>
      </c>
      <c r="M79" s="385"/>
      <c r="N79" s="385"/>
      <c r="O79" s="385"/>
      <c r="P79" s="385"/>
      <c r="Q79" s="385"/>
      <c r="R79" s="385"/>
      <c r="S79" s="385"/>
      <c r="T79" s="385"/>
    </row>
    <row r="80" spans="1:20" ht="17.25" customHeight="1">
      <c r="A80" s="374" t="s">
        <v>848</v>
      </c>
      <c r="B80" s="374"/>
      <c r="C80" s="374"/>
      <c r="D80" s="374"/>
      <c r="E80" s="374"/>
      <c r="F80" s="374"/>
      <c r="G80" s="374"/>
      <c r="H80" s="374"/>
      <c r="I80" s="374"/>
      <c r="J80" s="374"/>
      <c r="K80" s="272">
        <f>K58</f>
        <v>252.19</v>
      </c>
      <c r="M80" s="385"/>
      <c r="N80" s="385"/>
      <c r="O80" s="385"/>
      <c r="P80" s="385"/>
      <c r="Q80" s="385"/>
      <c r="R80" s="385"/>
      <c r="S80" s="385"/>
      <c r="T80" s="385"/>
    </row>
    <row r="81" spans="1:20" ht="17.25" customHeight="1">
      <c r="A81" s="374" t="s">
        <v>30</v>
      </c>
      <c r="B81" s="374"/>
      <c r="C81" s="374"/>
      <c r="D81" s="374"/>
      <c r="E81" s="374"/>
      <c r="F81" s="374"/>
      <c r="G81" s="374"/>
      <c r="H81" s="374"/>
      <c r="I81" s="374"/>
      <c r="J81" s="374"/>
      <c r="K81" s="272">
        <f>K73</f>
        <v>726.84</v>
      </c>
      <c r="M81" s="385"/>
      <c r="N81" s="385"/>
      <c r="O81" s="385"/>
      <c r="P81" s="385"/>
      <c r="Q81" s="385"/>
      <c r="R81" s="385"/>
      <c r="S81" s="385"/>
      <c r="T81" s="385"/>
    </row>
    <row r="82" spans="1:20" ht="17.25" customHeight="1">
      <c r="A82" s="374" t="s">
        <v>849</v>
      </c>
      <c r="B82" s="374"/>
      <c r="C82" s="374"/>
      <c r="D82" s="374"/>
      <c r="E82" s="374"/>
      <c r="F82" s="374"/>
      <c r="G82" s="374"/>
      <c r="H82" s="374"/>
      <c r="I82" s="374"/>
      <c r="J82" s="374"/>
      <c r="K82" s="272">
        <f>SUM(K78:K81)</f>
        <v>4131.3500000000004</v>
      </c>
      <c r="M82" s="385"/>
      <c r="N82" s="385"/>
      <c r="O82" s="385"/>
      <c r="P82" s="385"/>
      <c r="Q82" s="385"/>
      <c r="R82" s="385"/>
      <c r="S82" s="385"/>
      <c r="T82" s="385"/>
    </row>
    <row r="83" spans="1:20" ht="17.25" customHeight="1">
      <c r="A83" s="374" t="s">
        <v>252</v>
      </c>
      <c r="B83" s="374"/>
      <c r="C83" s="374"/>
      <c r="D83" s="374"/>
      <c r="E83" s="374"/>
      <c r="F83" s="374"/>
      <c r="G83" s="374"/>
      <c r="H83" s="374"/>
      <c r="I83" s="374"/>
      <c r="J83" s="374"/>
      <c r="K83" s="272">
        <f>ROUND(K82/12,2)</f>
        <v>344.28</v>
      </c>
      <c r="M83" s="385"/>
      <c r="N83" s="385"/>
      <c r="O83" s="385"/>
      <c r="P83" s="385"/>
      <c r="Q83" s="385"/>
      <c r="R83" s="385"/>
      <c r="S83" s="385"/>
      <c r="T83" s="385"/>
    </row>
    <row r="84" spans="1:20" ht="17.25" customHeight="1">
      <c r="A84" s="374" t="s">
        <v>850</v>
      </c>
      <c r="B84" s="374"/>
      <c r="C84" s="374"/>
      <c r="D84" s="374"/>
      <c r="E84" s="374"/>
      <c r="F84" s="374"/>
      <c r="G84" s="374"/>
      <c r="H84" s="374"/>
      <c r="I84" s="374"/>
      <c r="J84" s="374"/>
      <c r="K84" s="272">
        <f>ROUND(K80*40%,2)</f>
        <v>100.88</v>
      </c>
      <c r="M84" s="385"/>
      <c r="N84" s="385"/>
      <c r="O84" s="385"/>
      <c r="P84" s="385"/>
      <c r="Q84" s="385"/>
      <c r="R84" s="385"/>
      <c r="S84" s="385"/>
      <c r="T84" s="385"/>
    </row>
    <row r="85" spans="1:20" ht="17.25" customHeight="1">
      <c r="A85" s="377" t="s">
        <v>253</v>
      </c>
      <c r="B85" s="377"/>
      <c r="C85" s="377"/>
      <c r="D85" s="377"/>
      <c r="E85" s="377"/>
      <c r="F85" s="377"/>
      <c r="G85" s="377"/>
      <c r="H85" s="377"/>
      <c r="I85" s="377"/>
      <c r="J85" s="377"/>
      <c r="K85" s="315">
        <f>ROUND(K83+K84,2)</f>
        <v>445.16</v>
      </c>
      <c r="M85" s="385"/>
      <c r="N85" s="385"/>
      <c r="O85" s="385"/>
      <c r="P85" s="385"/>
      <c r="Q85" s="385"/>
      <c r="R85" s="385"/>
      <c r="S85" s="385"/>
      <c r="T85" s="385"/>
    </row>
    <row r="86" spans="1:20" ht="17.25" customHeight="1">
      <c r="A86" s="377" t="s">
        <v>256</v>
      </c>
      <c r="B86" s="377"/>
      <c r="C86" s="377"/>
      <c r="D86" s="377"/>
      <c r="E86" s="377"/>
      <c r="F86" s="377"/>
      <c r="G86" s="377"/>
      <c r="H86" s="410" t="s">
        <v>254</v>
      </c>
      <c r="I86" s="410"/>
      <c r="J86" s="410"/>
      <c r="K86" s="273" t="s">
        <v>255</v>
      </c>
      <c r="M86" s="385"/>
      <c r="N86" s="385"/>
      <c r="O86" s="385"/>
      <c r="P86" s="385"/>
      <c r="Q86" s="385"/>
      <c r="R86" s="385"/>
      <c r="S86" s="385"/>
      <c r="T86" s="385"/>
    </row>
    <row r="87" spans="1:20" ht="17.25" customHeight="1">
      <c r="A87" s="377"/>
      <c r="B87" s="377"/>
      <c r="C87" s="377"/>
      <c r="D87" s="377"/>
      <c r="E87" s="377"/>
      <c r="F87" s="377"/>
      <c r="G87" s="377"/>
      <c r="H87" s="405">
        <v>0.5</v>
      </c>
      <c r="I87" s="405"/>
      <c r="J87" s="405"/>
      <c r="K87" s="315">
        <f>ROUND(H87*K85,2)</f>
        <v>222.58</v>
      </c>
      <c r="M87" s="385"/>
      <c r="N87" s="385"/>
      <c r="O87" s="385"/>
      <c r="P87" s="385"/>
      <c r="Q87" s="385"/>
      <c r="R87" s="385"/>
      <c r="S87" s="385"/>
      <c r="T87" s="385"/>
    </row>
    <row r="88" spans="1:20" ht="17.25" customHeight="1">
      <c r="A88" s="373" t="s">
        <v>851</v>
      </c>
      <c r="B88" s="373"/>
      <c r="C88" s="373"/>
      <c r="D88" s="373"/>
      <c r="E88" s="373"/>
      <c r="F88" s="373"/>
      <c r="G88" s="373"/>
      <c r="H88" s="373"/>
      <c r="I88" s="373"/>
      <c r="J88" s="373"/>
      <c r="K88" s="265">
        <f>ROUND(K87,2)</f>
        <v>222.58</v>
      </c>
      <c r="M88" s="385"/>
      <c r="N88" s="385"/>
      <c r="O88" s="385"/>
      <c r="P88" s="385"/>
      <c r="Q88" s="385"/>
      <c r="R88" s="385"/>
      <c r="S88" s="385"/>
      <c r="T88" s="385"/>
    </row>
    <row r="89" spans="1:20" ht="17.25" customHeight="1">
      <c r="A89" s="464" t="s">
        <v>257</v>
      </c>
      <c r="B89" s="464"/>
      <c r="C89" s="464"/>
      <c r="D89" s="464"/>
      <c r="E89" s="464"/>
      <c r="F89" s="464"/>
      <c r="G89" s="464"/>
      <c r="H89" s="464"/>
      <c r="I89" s="464"/>
      <c r="J89" s="464"/>
      <c r="K89" s="464"/>
      <c r="M89" s="385"/>
      <c r="N89" s="385"/>
      <c r="O89" s="385"/>
      <c r="P89" s="385"/>
      <c r="Q89" s="385"/>
      <c r="R89" s="385"/>
      <c r="S89" s="385"/>
      <c r="T89" s="385"/>
    </row>
    <row r="90" spans="1:20" ht="17.25" customHeight="1">
      <c r="A90" s="374" t="s">
        <v>850</v>
      </c>
      <c r="B90" s="374"/>
      <c r="C90" s="374"/>
      <c r="D90" s="374"/>
      <c r="E90" s="374"/>
      <c r="F90" s="374"/>
      <c r="G90" s="374"/>
      <c r="H90" s="374"/>
      <c r="I90" s="374"/>
      <c r="J90" s="374"/>
      <c r="K90" s="272">
        <f>ROUND(K80*40%,2)</f>
        <v>100.88</v>
      </c>
      <c r="M90" s="385"/>
      <c r="N90" s="385"/>
      <c r="O90" s="385"/>
      <c r="P90" s="385"/>
      <c r="Q90" s="385"/>
      <c r="R90" s="385"/>
      <c r="S90" s="385"/>
      <c r="T90" s="385"/>
    </row>
    <row r="91" spans="1:20" ht="17.25" customHeight="1">
      <c r="A91" s="377" t="s">
        <v>258</v>
      </c>
      <c r="B91" s="377"/>
      <c r="C91" s="377"/>
      <c r="D91" s="377"/>
      <c r="E91" s="377"/>
      <c r="F91" s="377"/>
      <c r="G91" s="377"/>
      <c r="H91" s="377"/>
      <c r="I91" s="377"/>
      <c r="J91" s="377"/>
      <c r="K91" s="315">
        <f>K90</f>
        <v>100.88</v>
      </c>
      <c r="M91" s="385"/>
      <c r="N91" s="385"/>
      <c r="O91" s="385"/>
      <c r="P91" s="385"/>
      <c r="Q91" s="385"/>
      <c r="R91" s="385"/>
      <c r="S91" s="385"/>
      <c r="T91" s="385"/>
    </row>
    <row r="92" spans="1:20" ht="17.25" customHeight="1">
      <c r="A92" s="377" t="s">
        <v>259</v>
      </c>
      <c r="B92" s="377"/>
      <c r="C92" s="377"/>
      <c r="D92" s="377"/>
      <c r="E92" s="377"/>
      <c r="F92" s="377"/>
      <c r="G92" s="377"/>
      <c r="H92" s="410" t="s">
        <v>254</v>
      </c>
      <c r="I92" s="410"/>
      <c r="J92" s="410"/>
      <c r="K92" s="273" t="s">
        <v>255</v>
      </c>
      <c r="M92" s="385"/>
      <c r="N92" s="385"/>
      <c r="O92" s="385"/>
      <c r="P92" s="385"/>
      <c r="Q92" s="385"/>
      <c r="R92" s="385"/>
      <c r="S92" s="385"/>
      <c r="T92" s="385"/>
    </row>
    <row r="93" spans="1:20" ht="17.25" customHeight="1">
      <c r="A93" s="377"/>
      <c r="B93" s="377"/>
      <c r="C93" s="377"/>
      <c r="D93" s="377"/>
      <c r="E93" s="377"/>
      <c r="F93" s="377"/>
      <c r="G93" s="377"/>
      <c r="H93" s="405">
        <v>0.5</v>
      </c>
      <c r="I93" s="405"/>
      <c r="J93" s="405"/>
      <c r="K93" s="315">
        <f>ROUND(H93*K91,2)</f>
        <v>50.44</v>
      </c>
      <c r="M93" s="385"/>
      <c r="N93" s="385"/>
      <c r="O93" s="385"/>
      <c r="P93" s="385"/>
      <c r="Q93" s="385"/>
      <c r="R93" s="385"/>
      <c r="S93" s="385"/>
      <c r="T93" s="385"/>
    </row>
    <row r="94" spans="1:20" ht="17.25" customHeight="1">
      <c r="A94" s="373" t="s">
        <v>852</v>
      </c>
      <c r="B94" s="373"/>
      <c r="C94" s="373"/>
      <c r="D94" s="373"/>
      <c r="E94" s="373"/>
      <c r="F94" s="373"/>
      <c r="G94" s="373"/>
      <c r="H94" s="373"/>
      <c r="I94" s="373"/>
      <c r="J94" s="373"/>
      <c r="K94" s="265">
        <f>ROUND(K93,2)</f>
        <v>50.44</v>
      </c>
      <c r="M94" s="385"/>
      <c r="N94" s="385"/>
      <c r="O94" s="385"/>
      <c r="P94" s="385"/>
      <c r="Q94" s="385"/>
      <c r="R94" s="385"/>
      <c r="S94" s="385"/>
      <c r="T94" s="385"/>
    </row>
    <row r="95" spans="1:20" ht="17.25" customHeight="1">
      <c r="A95" s="464" t="s">
        <v>878</v>
      </c>
      <c r="B95" s="464"/>
      <c r="C95" s="464"/>
      <c r="D95" s="464"/>
      <c r="E95" s="464"/>
      <c r="F95" s="464"/>
      <c r="G95" s="464"/>
      <c r="H95" s="464"/>
      <c r="I95" s="464"/>
      <c r="J95" s="464"/>
      <c r="K95" s="464"/>
      <c r="M95" s="385"/>
      <c r="N95" s="385"/>
      <c r="O95" s="385"/>
      <c r="P95" s="385"/>
      <c r="Q95" s="385"/>
      <c r="R95" s="385"/>
      <c r="S95" s="385"/>
      <c r="T95" s="385"/>
    </row>
    <row r="96" spans="1:20" ht="17.25" customHeight="1">
      <c r="A96" s="465" t="s">
        <v>882</v>
      </c>
      <c r="B96" s="465"/>
      <c r="C96" s="465"/>
      <c r="D96" s="465"/>
      <c r="E96" s="465"/>
      <c r="F96" s="465"/>
      <c r="G96" s="465"/>
      <c r="H96" s="465"/>
      <c r="I96" s="465"/>
      <c r="J96" s="465"/>
      <c r="K96" s="272">
        <f>K88+K94</f>
        <v>273.02</v>
      </c>
      <c r="M96" s="385"/>
      <c r="N96" s="385"/>
      <c r="O96" s="385"/>
      <c r="P96" s="385"/>
      <c r="Q96" s="385"/>
      <c r="R96" s="385"/>
      <c r="S96" s="385"/>
      <c r="T96" s="385"/>
    </row>
    <row r="97" spans="1:20" ht="17.25" customHeight="1">
      <c r="A97" s="465" t="s">
        <v>883</v>
      </c>
      <c r="B97" s="465"/>
      <c r="C97" s="465"/>
      <c r="D97" s="465"/>
      <c r="E97" s="465"/>
      <c r="F97" s="465"/>
      <c r="G97" s="465"/>
      <c r="H97" s="465"/>
      <c r="I97" s="465"/>
      <c r="J97" s="465"/>
      <c r="K97" s="272">
        <f>K96/10</f>
        <v>27.302</v>
      </c>
      <c r="M97" s="385"/>
      <c r="N97" s="385"/>
      <c r="O97" s="385"/>
      <c r="P97" s="385"/>
      <c r="Q97" s="385"/>
      <c r="R97" s="385"/>
      <c r="S97" s="385"/>
      <c r="T97" s="385"/>
    </row>
    <row r="98" spans="1:20" ht="30" customHeight="1">
      <c r="A98" s="377" t="s">
        <v>853</v>
      </c>
      <c r="B98" s="377"/>
      <c r="C98" s="377"/>
      <c r="D98" s="377"/>
      <c r="E98" s="377"/>
      <c r="F98" s="377"/>
      <c r="G98" s="377"/>
      <c r="H98" s="466" t="s">
        <v>854</v>
      </c>
      <c r="I98" s="466"/>
      <c r="J98" s="466"/>
      <c r="K98" s="273" t="s">
        <v>255</v>
      </c>
      <c r="M98" s="385"/>
      <c r="N98" s="385"/>
      <c r="O98" s="385"/>
      <c r="P98" s="385"/>
      <c r="Q98" s="385"/>
      <c r="R98" s="385"/>
      <c r="S98" s="385"/>
      <c r="T98" s="385"/>
    </row>
    <row r="99" spans="1:20" ht="17.25" customHeight="1">
      <c r="A99" s="377"/>
      <c r="B99" s="377"/>
      <c r="C99" s="377"/>
      <c r="D99" s="377"/>
      <c r="E99" s="377"/>
      <c r="F99" s="377"/>
      <c r="G99" s="377"/>
      <c r="H99" s="467">
        <v>0</v>
      </c>
      <c r="I99" s="467"/>
      <c r="J99" s="467"/>
      <c r="K99" s="315">
        <f>ROUND(3*K97*H99,2)</f>
        <v>0</v>
      </c>
      <c r="M99" s="385"/>
      <c r="N99" s="385"/>
      <c r="O99" s="385"/>
      <c r="P99" s="385"/>
      <c r="Q99" s="385"/>
      <c r="R99" s="385"/>
      <c r="S99" s="385"/>
      <c r="T99" s="385"/>
    </row>
    <row r="100" spans="1:20" ht="17.25" customHeight="1">
      <c r="A100" s="373" t="s">
        <v>855</v>
      </c>
      <c r="B100" s="373"/>
      <c r="C100" s="373"/>
      <c r="D100" s="373"/>
      <c r="E100" s="373"/>
      <c r="F100" s="373"/>
      <c r="G100" s="373"/>
      <c r="H100" s="373"/>
      <c r="I100" s="373"/>
      <c r="J100" s="373"/>
      <c r="K100" s="265">
        <f>K99</f>
        <v>0</v>
      </c>
      <c r="M100" s="385"/>
      <c r="N100" s="385"/>
      <c r="O100" s="385"/>
      <c r="P100" s="385"/>
      <c r="Q100" s="385"/>
      <c r="R100" s="385"/>
      <c r="S100" s="385"/>
      <c r="T100" s="385"/>
    </row>
    <row r="101" spans="1:20" ht="17.25" customHeight="1">
      <c r="A101" s="468" t="s">
        <v>43</v>
      </c>
      <c r="B101" s="468"/>
      <c r="C101" s="468"/>
      <c r="D101" s="468"/>
      <c r="E101" s="468"/>
      <c r="F101" s="468"/>
      <c r="G101" s="468"/>
      <c r="H101" s="468"/>
      <c r="I101" s="468"/>
      <c r="J101" s="468"/>
      <c r="K101" s="274">
        <f>K88+K94+K100</f>
        <v>273.02</v>
      </c>
      <c r="M101" s="385"/>
      <c r="N101" s="385"/>
      <c r="O101" s="385"/>
      <c r="P101" s="385"/>
      <c r="Q101" s="385"/>
      <c r="R101" s="385"/>
      <c r="S101" s="385"/>
      <c r="T101" s="385"/>
    </row>
    <row r="102" spans="1:20" ht="9.75" customHeight="1">
      <c r="A102" s="408"/>
      <c r="B102" s="408"/>
      <c r="C102" s="408"/>
      <c r="D102" s="408"/>
      <c r="E102" s="408"/>
      <c r="F102" s="408"/>
      <c r="G102" s="408"/>
      <c r="H102" s="408"/>
      <c r="I102" s="408"/>
      <c r="J102" s="408"/>
      <c r="K102" s="408"/>
      <c r="M102" s="385"/>
      <c r="N102" s="385"/>
      <c r="O102" s="385"/>
      <c r="P102" s="385"/>
      <c r="Q102" s="385"/>
      <c r="R102" s="385"/>
      <c r="S102" s="385"/>
      <c r="T102" s="385"/>
    </row>
    <row r="103" spans="1:20" ht="17.25" customHeight="1">
      <c r="A103" s="390" t="s">
        <v>44</v>
      </c>
      <c r="B103" s="390"/>
      <c r="C103" s="390"/>
      <c r="D103" s="390"/>
      <c r="E103" s="390"/>
      <c r="F103" s="390"/>
      <c r="G103" s="390"/>
      <c r="H103" s="390"/>
      <c r="I103" s="390"/>
      <c r="J103" s="390"/>
      <c r="K103" s="390"/>
      <c r="M103" s="385"/>
      <c r="N103" s="385"/>
      <c r="O103" s="385"/>
      <c r="P103" s="385"/>
      <c r="Q103" s="385"/>
      <c r="R103" s="385"/>
      <c r="S103" s="385"/>
      <c r="T103" s="385"/>
    </row>
    <row r="104" spans="1:20" ht="17.25" customHeight="1">
      <c r="A104" s="373" t="s">
        <v>85</v>
      </c>
      <c r="B104" s="373"/>
      <c r="C104" s="373"/>
      <c r="D104" s="373"/>
      <c r="E104" s="373"/>
      <c r="F104" s="373"/>
      <c r="G104" s="373"/>
      <c r="H104" s="373"/>
      <c r="I104" s="373"/>
      <c r="J104" s="373"/>
      <c r="K104" s="373"/>
      <c r="M104" s="385"/>
      <c r="N104" s="385"/>
      <c r="O104" s="385"/>
      <c r="P104" s="385"/>
      <c r="Q104" s="385"/>
      <c r="R104" s="385"/>
      <c r="S104" s="385"/>
      <c r="T104" s="385"/>
    </row>
    <row r="105" spans="1:20" ht="17.25" customHeight="1">
      <c r="A105" s="373" t="s">
        <v>856</v>
      </c>
      <c r="B105" s="373"/>
      <c r="C105" s="373"/>
      <c r="D105" s="373"/>
      <c r="E105" s="373"/>
      <c r="F105" s="373"/>
      <c r="G105" s="373"/>
      <c r="H105" s="373"/>
      <c r="I105" s="373"/>
      <c r="J105" s="373"/>
      <c r="K105" s="373"/>
      <c r="M105" s="385"/>
      <c r="N105" s="385"/>
      <c r="O105" s="385"/>
      <c r="P105" s="385"/>
      <c r="Q105" s="385"/>
      <c r="R105" s="385"/>
      <c r="S105" s="385"/>
      <c r="T105" s="385"/>
    </row>
    <row r="106" spans="1:20" ht="39.75" customHeight="1">
      <c r="A106" s="373" t="s">
        <v>857</v>
      </c>
      <c r="B106" s="373"/>
      <c r="C106" s="373"/>
      <c r="D106" s="373"/>
      <c r="E106" s="373"/>
      <c r="F106" s="311" t="s">
        <v>858</v>
      </c>
      <c r="G106" s="275" t="s">
        <v>859</v>
      </c>
      <c r="H106" s="373" t="s">
        <v>860</v>
      </c>
      <c r="I106" s="373"/>
      <c r="J106" s="373"/>
      <c r="K106" s="311" t="s">
        <v>861</v>
      </c>
      <c r="M106" s="385"/>
      <c r="N106" s="385"/>
      <c r="O106" s="385"/>
      <c r="P106" s="385"/>
      <c r="Q106" s="385"/>
      <c r="R106" s="385"/>
      <c r="S106" s="385"/>
      <c r="T106" s="385"/>
    </row>
    <row r="107" spans="1:20" ht="17.25" customHeight="1">
      <c r="A107" s="377" t="s">
        <v>862</v>
      </c>
      <c r="B107" s="377"/>
      <c r="C107" s="377"/>
      <c r="D107" s="377"/>
      <c r="E107" s="377"/>
      <c r="F107" s="283">
        <v>1</v>
      </c>
      <c r="G107" s="313">
        <v>30</v>
      </c>
      <c r="H107" s="469">
        <f>255/365</f>
        <v>0.69863013698630139</v>
      </c>
      <c r="I107" s="469"/>
      <c r="J107" s="469"/>
      <c r="K107" s="276">
        <f>ROUND(F107*G107*H107,4)</f>
        <v>20.9589</v>
      </c>
      <c r="M107" s="385"/>
      <c r="N107" s="385"/>
      <c r="O107" s="385"/>
      <c r="P107" s="385"/>
      <c r="Q107" s="385"/>
      <c r="R107" s="385"/>
      <c r="S107" s="385"/>
      <c r="T107" s="385"/>
    </row>
    <row r="108" spans="1:20" ht="17.25" customHeight="1">
      <c r="A108" s="377" t="s">
        <v>863</v>
      </c>
      <c r="B108" s="377"/>
      <c r="C108" s="377"/>
      <c r="D108" s="377"/>
      <c r="E108" s="377"/>
      <c r="F108" s="283">
        <v>1</v>
      </c>
      <c r="G108" s="313">
        <v>1</v>
      </c>
      <c r="H108" s="469">
        <v>1</v>
      </c>
      <c r="I108" s="469"/>
      <c r="J108" s="469"/>
      <c r="K108" s="276">
        <f t="shared" ref="K108:K118" si="1">ROUND(F108*G108*H108,4)</f>
        <v>1</v>
      </c>
      <c r="M108" s="385"/>
      <c r="N108" s="385"/>
      <c r="O108" s="385"/>
      <c r="P108" s="385"/>
      <c r="Q108" s="385"/>
      <c r="R108" s="385"/>
      <c r="S108" s="385"/>
      <c r="T108" s="385"/>
    </row>
    <row r="109" spans="1:20" ht="17.25" customHeight="1">
      <c r="A109" s="377" t="s">
        <v>864</v>
      </c>
      <c r="B109" s="377"/>
      <c r="C109" s="377"/>
      <c r="D109" s="377"/>
      <c r="E109" s="377"/>
      <c r="F109" s="283">
        <v>9.2200000000000004E-2</v>
      </c>
      <c r="G109" s="313">
        <v>15</v>
      </c>
      <c r="H109" s="469">
        <f>255/365</f>
        <v>0.69863013698630139</v>
      </c>
      <c r="I109" s="469"/>
      <c r="J109" s="469"/>
      <c r="K109" s="276">
        <f t="shared" si="1"/>
        <v>0.96619999999999995</v>
      </c>
      <c r="M109" s="385"/>
      <c r="N109" s="385"/>
      <c r="O109" s="385"/>
      <c r="P109" s="385"/>
      <c r="Q109" s="385"/>
      <c r="R109" s="385"/>
      <c r="S109" s="385"/>
      <c r="T109" s="385"/>
    </row>
    <row r="110" spans="1:20" ht="17.25" customHeight="1">
      <c r="A110" s="377" t="s">
        <v>865</v>
      </c>
      <c r="B110" s="377"/>
      <c r="C110" s="377"/>
      <c r="D110" s="377"/>
      <c r="E110" s="377"/>
      <c r="F110" s="283">
        <v>1</v>
      </c>
      <c r="G110" s="313">
        <v>5</v>
      </c>
      <c r="H110" s="469">
        <f>255/365</f>
        <v>0.69863013698630139</v>
      </c>
      <c r="I110" s="469"/>
      <c r="J110" s="469"/>
      <c r="K110" s="276">
        <f t="shared" si="1"/>
        <v>3.4931999999999999</v>
      </c>
      <c r="M110" s="385"/>
      <c r="N110" s="385"/>
      <c r="O110" s="385"/>
      <c r="P110" s="385"/>
      <c r="Q110" s="385"/>
      <c r="R110" s="385"/>
      <c r="S110" s="385"/>
      <c r="T110" s="385"/>
    </row>
    <row r="111" spans="1:20" ht="17.25" customHeight="1">
      <c r="A111" s="377" t="s">
        <v>866</v>
      </c>
      <c r="B111" s="377"/>
      <c r="C111" s="377"/>
      <c r="D111" s="377"/>
      <c r="E111" s="377"/>
      <c r="F111" s="283">
        <v>0.13439999999999999</v>
      </c>
      <c r="G111" s="313">
        <v>2</v>
      </c>
      <c r="H111" s="469">
        <v>1</v>
      </c>
      <c r="I111" s="469"/>
      <c r="J111" s="469"/>
      <c r="K111" s="276">
        <f t="shared" si="1"/>
        <v>0.26879999999999998</v>
      </c>
      <c r="M111" s="385"/>
      <c r="N111" s="385"/>
      <c r="O111" s="385"/>
      <c r="P111" s="385"/>
      <c r="Q111" s="385"/>
      <c r="R111" s="385"/>
      <c r="S111" s="385"/>
      <c r="T111" s="385"/>
    </row>
    <row r="112" spans="1:20" ht="17.25" customHeight="1">
      <c r="A112" s="377" t="s">
        <v>867</v>
      </c>
      <c r="B112" s="377"/>
      <c r="C112" s="377"/>
      <c r="D112" s="377"/>
      <c r="E112" s="377"/>
      <c r="F112" s="283">
        <v>3.0499999999999999E-2</v>
      </c>
      <c r="G112" s="313">
        <v>2</v>
      </c>
      <c r="H112" s="469">
        <f>255/365</f>
        <v>0.69863013698630139</v>
      </c>
      <c r="I112" s="469"/>
      <c r="J112" s="469"/>
      <c r="K112" s="276">
        <f t="shared" si="1"/>
        <v>4.2599999999999999E-2</v>
      </c>
      <c r="M112" s="385"/>
      <c r="N112" s="385"/>
      <c r="O112" s="385"/>
      <c r="P112" s="385"/>
      <c r="Q112" s="385"/>
      <c r="R112" s="385"/>
      <c r="S112" s="385"/>
      <c r="T112" s="385"/>
    </row>
    <row r="113" spans="1:20" ht="17.25" customHeight="1">
      <c r="A113" s="377" t="s">
        <v>868</v>
      </c>
      <c r="B113" s="377"/>
      <c r="C113" s="377"/>
      <c r="D113" s="377"/>
      <c r="E113" s="377"/>
      <c r="F113" s="283">
        <v>1.18E-2</v>
      </c>
      <c r="G113" s="313">
        <v>3</v>
      </c>
      <c r="H113" s="469">
        <v>1</v>
      </c>
      <c r="I113" s="469"/>
      <c r="J113" s="469"/>
      <c r="K113" s="276">
        <f t="shared" si="1"/>
        <v>3.5400000000000001E-2</v>
      </c>
      <c r="M113" s="385"/>
      <c r="N113" s="385"/>
      <c r="O113" s="385"/>
      <c r="P113" s="385"/>
      <c r="Q113" s="385"/>
      <c r="R113" s="385"/>
      <c r="S113" s="385"/>
      <c r="T113" s="385"/>
    </row>
    <row r="114" spans="1:20" ht="17.25" customHeight="1">
      <c r="A114" s="377" t="s">
        <v>869</v>
      </c>
      <c r="B114" s="377"/>
      <c r="C114" s="377"/>
      <c r="D114" s="377"/>
      <c r="E114" s="377"/>
      <c r="F114" s="283">
        <v>0.02</v>
      </c>
      <c r="G114" s="313">
        <v>1</v>
      </c>
      <c r="H114" s="469">
        <v>1</v>
      </c>
      <c r="I114" s="469"/>
      <c r="J114" s="469"/>
      <c r="K114" s="276">
        <f t="shared" si="1"/>
        <v>0.02</v>
      </c>
      <c r="M114" s="385"/>
      <c r="N114" s="385"/>
      <c r="O114" s="385"/>
      <c r="P114" s="385"/>
      <c r="Q114" s="385"/>
      <c r="R114" s="385"/>
      <c r="S114" s="385"/>
      <c r="T114" s="385"/>
    </row>
    <row r="115" spans="1:20" ht="17.25" customHeight="1">
      <c r="A115" s="377" t="s">
        <v>870</v>
      </c>
      <c r="B115" s="377"/>
      <c r="C115" s="377"/>
      <c r="D115" s="377"/>
      <c r="E115" s="377"/>
      <c r="F115" s="283">
        <v>4.0000000000000001E-3</v>
      </c>
      <c r="G115" s="313">
        <v>1</v>
      </c>
      <c r="H115" s="469">
        <v>1</v>
      </c>
      <c r="I115" s="469"/>
      <c r="J115" s="469"/>
      <c r="K115" s="276">
        <f t="shared" si="1"/>
        <v>4.0000000000000001E-3</v>
      </c>
      <c r="M115" s="385"/>
      <c r="N115" s="385"/>
      <c r="O115" s="385"/>
      <c r="P115" s="385"/>
      <c r="Q115" s="385"/>
      <c r="R115" s="385"/>
      <c r="S115" s="385"/>
      <c r="T115" s="385"/>
    </row>
    <row r="116" spans="1:20" ht="17.25" customHeight="1">
      <c r="A116" s="377" t="s">
        <v>871</v>
      </c>
      <c r="B116" s="377"/>
      <c r="C116" s="377"/>
      <c r="D116" s="377"/>
      <c r="E116" s="377"/>
      <c r="F116" s="283">
        <v>1.43E-2</v>
      </c>
      <c r="G116" s="313">
        <v>20</v>
      </c>
      <c r="H116" s="469">
        <f>255/365</f>
        <v>0.69863013698630139</v>
      </c>
      <c r="I116" s="469"/>
      <c r="J116" s="469"/>
      <c r="K116" s="276">
        <f t="shared" si="1"/>
        <v>0.19980000000000001</v>
      </c>
      <c r="M116" s="385"/>
      <c r="N116" s="385"/>
      <c r="O116" s="385"/>
      <c r="P116" s="385"/>
      <c r="Q116" s="385"/>
      <c r="R116" s="385"/>
      <c r="S116" s="385"/>
      <c r="T116" s="385"/>
    </row>
    <row r="117" spans="1:20" ht="17.25" customHeight="1">
      <c r="A117" s="377" t="s">
        <v>872</v>
      </c>
      <c r="B117" s="377"/>
      <c r="C117" s="377"/>
      <c r="D117" s="377"/>
      <c r="E117" s="377"/>
      <c r="F117" s="283">
        <v>1.9699999999999999E-2</v>
      </c>
      <c r="G117" s="313">
        <v>180</v>
      </c>
      <c r="H117" s="469">
        <f>255/365</f>
        <v>0.69863013698630139</v>
      </c>
      <c r="I117" s="469"/>
      <c r="J117" s="469"/>
      <c r="K117" s="276">
        <f t="shared" si="1"/>
        <v>2.4773000000000001</v>
      </c>
      <c r="M117" s="385"/>
      <c r="N117" s="385"/>
      <c r="O117" s="385"/>
      <c r="P117" s="385"/>
      <c r="Q117" s="385"/>
      <c r="R117" s="385"/>
      <c r="S117" s="385"/>
      <c r="T117" s="385"/>
    </row>
    <row r="118" spans="1:20" ht="17.25" customHeight="1">
      <c r="A118" s="377" t="s">
        <v>873</v>
      </c>
      <c r="B118" s="377"/>
      <c r="C118" s="377"/>
      <c r="D118" s="377"/>
      <c r="E118" s="377"/>
      <c r="F118" s="283">
        <v>1.6000000000000001E-3</v>
      </c>
      <c r="G118" s="313">
        <v>6</v>
      </c>
      <c r="H118" s="469">
        <v>1</v>
      </c>
      <c r="I118" s="469"/>
      <c r="J118" s="469"/>
      <c r="K118" s="276">
        <f t="shared" si="1"/>
        <v>9.5999999999999992E-3</v>
      </c>
      <c r="M118" s="385"/>
      <c r="N118" s="385"/>
      <c r="O118" s="385"/>
      <c r="P118" s="385"/>
      <c r="Q118" s="385"/>
      <c r="R118" s="385"/>
      <c r="S118" s="385"/>
      <c r="T118" s="385"/>
    </row>
    <row r="119" spans="1:20" ht="17.25" customHeight="1">
      <c r="A119" s="470" t="s">
        <v>874</v>
      </c>
      <c r="B119" s="470"/>
      <c r="C119" s="470"/>
      <c r="D119" s="470"/>
      <c r="E119" s="470"/>
      <c r="F119" s="470"/>
      <c r="G119" s="470"/>
      <c r="H119" s="470"/>
      <c r="I119" s="470"/>
      <c r="J119" s="470"/>
      <c r="K119" s="277">
        <f>ROUND(SUM(K107:K118),0)</f>
        <v>29</v>
      </c>
      <c r="M119" s="385"/>
      <c r="N119" s="385"/>
      <c r="O119" s="385"/>
      <c r="P119" s="385"/>
      <c r="Q119" s="385"/>
      <c r="R119" s="385"/>
      <c r="S119" s="385"/>
      <c r="T119" s="385"/>
    </row>
    <row r="120" spans="1:20" ht="17.25" customHeight="1">
      <c r="A120" s="374" t="s">
        <v>68</v>
      </c>
      <c r="B120" s="374"/>
      <c r="C120" s="374"/>
      <c r="D120" s="374"/>
      <c r="E120" s="374"/>
      <c r="F120" s="374"/>
      <c r="G120" s="374"/>
      <c r="H120" s="374"/>
      <c r="I120" s="374"/>
      <c r="J120" s="374"/>
      <c r="K120" s="272">
        <f>K35</f>
        <v>2639.25</v>
      </c>
      <c r="M120" s="385"/>
      <c r="N120" s="385"/>
      <c r="O120" s="385"/>
      <c r="P120" s="385"/>
      <c r="Q120" s="385"/>
      <c r="R120" s="385"/>
      <c r="S120" s="385"/>
      <c r="T120" s="385"/>
    </row>
    <row r="121" spans="1:20" ht="17.25" customHeight="1">
      <c r="A121" s="374" t="s">
        <v>69</v>
      </c>
      <c r="B121" s="374"/>
      <c r="C121" s="374"/>
      <c r="D121" s="374"/>
      <c r="E121" s="374"/>
      <c r="F121" s="374"/>
      <c r="G121" s="374"/>
      <c r="H121" s="374"/>
      <c r="I121" s="374"/>
      <c r="J121" s="374"/>
      <c r="K121" s="272">
        <f>K74</f>
        <v>2399.9499999999998</v>
      </c>
      <c r="M121" s="385"/>
      <c r="N121" s="385"/>
      <c r="O121" s="385"/>
      <c r="P121" s="385"/>
      <c r="Q121" s="385"/>
      <c r="R121" s="385"/>
      <c r="S121" s="385"/>
      <c r="T121" s="385"/>
    </row>
    <row r="122" spans="1:20" ht="17.25" customHeight="1">
      <c r="A122" s="374" t="s">
        <v>70</v>
      </c>
      <c r="B122" s="374"/>
      <c r="C122" s="374"/>
      <c r="D122" s="374"/>
      <c r="E122" s="374"/>
      <c r="F122" s="374"/>
      <c r="G122" s="374"/>
      <c r="H122" s="374"/>
      <c r="I122" s="374"/>
      <c r="J122" s="374"/>
      <c r="K122" s="272">
        <f>K101</f>
        <v>273.02</v>
      </c>
      <c r="M122" s="385"/>
      <c r="N122" s="385"/>
      <c r="O122" s="385"/>
      <c r="P122" s="385"/>
      <c r="Q122" s="385"/>
      <c r="R122" s="385"/>
      <c r="S122" s="385"/>
      <c r="T122" s="385"/>
    </row>
    <row r="123" spans="1:20" ht="17.25" customHeight="1">
      <c r="A123" s="374" t="s">
        <v>261</v>
      </c>
      <c r="B123" s="374"/>
      <c r="C123" s="374"/>
      <c r="D123" s="374"/>
      <c r="E123" s="374"/>
      <c r="F123" s="374"/>
      <c r="G123" s="374"/>
      <c r="H123" s="374"/>
      <c r="I123" s="374"/>
      <c r="J123" s="374"/>
      <c r="K123" s="272">
        <f>K120+K121+K122</f>
        <v>5312.2199999999993</v>
      </c>
      <c r="M123" s="385"/>
      <c r="N123" s="385"/>
      <c r="O123" s="385"/>
      <c r="P123" s="385"/>
      <c r="Q123" s="385"/>
      <c r="R123" s="385"/>
      <c r="S123" s="385"/>
      <c r="T123" s="385"/>
    </row>
    <row r="124" spans="1:20" ht="17.25" customHeight="1">
      <c r="A124" s="374" t="s">
        <v>875</v>
      </c>
      <c r="B124" s="374"/>
      <c r="C124" s="374"/>
      <c r="D124" s="374"/>
      <c r="E124" s="374"/>
      <c r="F124" s="374"/>
      <c r="G124" s="374"/>
      <c r="H124" s="374"/>
      <c r="I124" s="374"/>
      <c r="J124" s="374"/>
      <c r="K124" s="278">
        <f>ROUND(K123/30,2)</f>
        <v>177.07</v>
      </c>
      <c r="M124" s="385"/>
      <c r="N124" s="385"/>
      <c r="O124" s="385"/>
      <c r="P124" s="385"/>
      <c r="Q124" s="385"/>
      <c r="R124" s="385"/>
      <c r="S124" s="385"/>
      <c r="T124" s="385"/>
    </row>
    <row r="125" spans="1:20" ht="17.25" customHeight="1">
      <c r="A125" s="374" t="s">
        <v>876</v>
      </c>
      <c r="B125" s="374"/>
      <c r="C125" s="374"/>
      <c r="D125" s="374"/>
      <c r="E125" s="374"/>
      <c r="F125" s="374"/>
      <c r="G125" s="374"/>
      <c r="H125" s="374"/>
      <c r="I125" s="374"/>
      <c r="J125" s="374"/>
      <c r="K125" s="278">
        <f>ROUND(K124*K119,2)</f>
        <v>5135.03</v>
      </c>
      <c r="M125" s="385"/>
      <c r="N125" s="385"/>
      <c r="O125" s="385"/>
      <c r="P125" s="385"/>
      <c r="Q125" s="385"/>
      <c r="R125" s="385"/>
      <c r="S125" s="385"/>
      <c r="T125" s="385"/>
    </row>
    <row r="126" spans="1:20" ht="17.25" customHeight="1">
      <c r="A126" s="374" t="s">
        <v>877</v>
      </c>
      <c r="B126" s="374"/>
      <c r="C126" s="374"/>
      <c r="D126" s="374"/>
      <c r="E126" s="374"/>
      <c r="F126" s="374"/>
      <c r="G126" s="374"/>
      <c r="H126" s="374"/>
      <c r="I126" s="374"/>
      <c r="J126" s="374"/>
      <c r="K126" s="278">
        <f>ROUND(K125/12,2)</f>
        <v>427.92</v>
      </c>
      <c r="M126" s="385"/>
      <c r="N126" s="385"/>
      <c r="O126" s="385"/>
      <c r="P126" s="385"/>
      <c r="Q126" s="385"/>
      <c r="R126" s="385"/>
      <c r="S126" s="385"/>
      <c r="T126" s="385"/>
    </row>
    <row r="127" spans="1:20" ht="17.25" customHeight="1">
      <c r="A127" s="373" t="s">
        <v>49</v>
      </c>
      <c r="B127" s="373"/>
      <c r="C127" s="373"/>
      <c r="D127" s="373"/>
      <c r="E127" s="373"/>
      <c r="F127" s="373"/>
      <c r="G127" s="373"/>
      <c r="H127" s="373"/>
      <c r="I127" s="373"/>
      <c r="J127" s="373"/>
      <c r="K127" s="265">
        <f>K126</f>
        <v>427.92</v>
      </c>
      <c r="M127" s="385"/>
      <c r="N127" s="385"/>
      <c r="O127" s="385"/>
      <c r="P127" s="385"/>
      <c r="Q127" s="385"/>
      <c r="R127" s="385"/>
      <c r="S127" s="385"/>
      <c r="T127" s="385"/>
    </row>
    <row r="128" spans="1:20" s="119" customFormat="1" ht="5.25" customHeight="1">
      <c r="A128" s="393"/>
      <c r="B128" s="393"/>
      <c r="C128" s="393"/>
      <c r="D128" s="393"/>
      <c r="E128" s="393"/>
      <c r="F128" s="393"/>
      <c r="G128" s="393"/>
      <c r="H128" s="393"/>
      <c r="I128" s="393"/>
      <c r="J128" s="393"/>
      <c r="K128" s="393"/>
      <c r="M128" s="116"/>
      <c r="N128" s="116"/>
      <c r="O128" s="116"/>
      <c r="P128" s="116"/>
      <c r="Q128" s="116"/>
      <c r="R128" s="116"/>
      <c r="S128" s="116"/>
      <c r="T128" s="116"/>
    </row>
    <row r="129" spans="1:20" ht="17.25" customHeight="1">
      <c r="A129" s="410" t="s">
        <v>92</v>
      </c>
      <c r="B129" s="410"/>
      <c r="C129" s="410"/>
      <c r="D129" s="410"/>
      <c r="E129" s="410"/>
      <c r="F129" s="410"/>
      <c r="G129" s="410"/>
      <c r="H129" s="410"/>
      <c r="I129" s="410"/>
      <c r="J129" s="410"/>
      <c r="K129" s="410"/>
    </row>
    <row r="130" spans="1:20" ht="17.25" customHeight="1">
      <c r="A130" s="412"/>
      <c r="B130" s="412"/>
      <c r="C130" s="412"/>
      <c r="D130" s="412"/>
      <c r="E130" s="412"/>
      <c r="F130" s="412"/>
      <c r="G130" s="412"/>
      <c r="H130" s="412"/>
      <c r="I130" s="412"/>
      <c r="J130" s="412"/>
      <c r="K130" s="316" t="s">
        <v>20</v>
      </c>
    </row>
    <row r="131" spans="1:20" ht="17.25" customHeight="1">
      <c r="A131" s="313" t="s">
        <v>1</v>
      </c>
      <c r="B131" s="380" t="s">
        <v>93</v>
      </c>
      <c r="C131" s="380"/>
      <c r="D131" s="380"/>
      <c r="E131" s="380"/>
      <c r="F131" s="380"/>
      <c r="G131" s="380"/>
      <c r="H131" s="380"/>
      <c r="I131" s="380"/>
      <c r="J131" s="380"/>
      <c r="K131" s="315">
        <v>0</v>
      </c>
    </row>
    <row r="132" spans="1:20" ht="17.25" customHeight="1">
      <c r="A132" s="373" t="s">
        <v>50</v>
      </c>
      <c r="B132" s="373"/>
      <c r="C132" s="373"/>
      <c r="D132" s="373"/>
      <c r="E132" s="373"/>
      <c r="F132" s="373"/>
      <c r="G132" s="373"/>
      <c r="H132" s="373"/>
      <c r="I132" s="373"/>
      <c r="J132" s="373"/>
      <c r="K132" s="265">
        <f>K131</f>
        <v>0</v>
      </c>
    </row>
    <row r="133" spans="1:20" ht="5.25" customHeight="1">
      <c r="A133" s="417"/>
      <c r="B133" s="417"/>
      <c r="C133" s="417"/>
      <c r="D133" s="417"/>
      <c r="E133" s="417"/>
      <c r="F133" s="417"/>
      <c r="G133" s="417"/>
      <c r="H133" s="417"/>
      <c r="I133" s="417"/>
      <c r="J133" s="417"/>
      <c r="K133" s="417"/>
    </row>
    <row r="134" spans="1:20" ht="17.25" customHeight="1">
      <c r="A134" s="390" t="s">
        <v>51</v>
      </c>
      <c r="B134" s="390"/>
      <c r="C134" s="390"/>
      <c r="D134" s="390"/>
      <c r="E134" s="390"/>
      <c r="F134" s="390"/>
      <c r="G134" s="390"/>
      <c r="H134" s="390"/>
      <c r="I134" s="390"/>
      <c r="J134" s="390"/>
      <c r="K134" s="263">
        <f>SUM(K127,K132)</f>
        <v>427.92</v>
      </c>
    </row>
    <row r="135" spans="1:20" ht="6.75" customHeight="1">
      <c r="A135" s="408"/>
      <c r="B135" s="408"/>
      <c r="C135" s="408"/>
      <c r="D135" s="408"/>
      <c r="E135" s="408"/>
      <c r="F135" s="408"/>
      <c r="G135" s="408"/>
      <c r="H135" s="408"/>
      <c r="I135" s="408"/>
      <c r="J135" s="408"/>
      <c r="K135" s="408"/>
    </row>
    <row r="136" spans="1:20" ht="17.25" customHeight="1">
      <c r="A136" s="390" t="s">
        <v>52</v>
      </c>
      <c r="B136" s="390"/>
      <c r="C136" s="390"/>
      <c r="D136" s="390"/>
      <c r="E136" s="390"/>
      <c r="F136" s="390"/>
      <c r="G136" s="390"/>
      <c r="H136" s="390"/>
      <c r="I136" s="390"/>
      <c r="J136" s="390"/>
      <c r="K136" s="390"/>
    </row>
    <row r="137" spans="1:20" ht="17.25" customHeight="1">
      <c r="A137" s="313" t="s">
        <v>1</v>
      </c>
      <c r="B137" s="380" t="s">
        <v>188</v>
      </c>
      <c r="C137" s="380"/>
      <c r="D137" s="380"/>
      <c r="E137" s="380"/>
      <c r="F137" s="380"/>
      <c r="G137" s="380"/>
      <c r="H137" s="380"/>
      <c r="I137" s="380"/>
      <c r="J137" s="380"/>
      <c r="K137" s="329">
        <f>Uniformes!H12</f>
        <v>147.11499999999998</v>
      </c>
    </row>
    <row r="138" spans="1:20" ht="17.25" customHeight="1">
      <c r="A138" s="313" t="s">
        <v>3</v>
      </c>
      <c r="B138" s="380" t="s">
        <v>312</v>
      </c>
      <c r="C138" s="380"/>
      <c r="D138" s="380"/>
      <c r="E138" s="380"/>
      <c r="F138" s="380"/>
      <c r="G138" s="380"/>
      <c r="H138" s="380"/>
      <c r="I138" s="380"/>
      <c r="J138" s="380"/>
      <c r="K138" s="329">
        <f>'EPI''s'!I18</f>
        <v>188.54333333333335</v>
      </c>
    </row>
    <row r="139" spans="1:20" ht="17.25" customHeight="1">
      <c r="A139" s="313" t="s">
        <v>5</v>
      </c>
      <c r="B139" s="380" t="s">
        <v>680</v>
      </c>
      <c r="C139" s="380"/>
      <c r="D139" s="380"/>
      <c r="E139" s="380"/>
      <c r="F139" s="380"/>
      <c r="G139" s="380"/>
      <c r="H139" s="380"/>
      <c r="I139" s="380"/>
      <c r="J139" s="380"/>
      <c r="K139" s="329">
        <f>Insumos!H55</f>
        <v>114.59444444444443</v>
      </c>
    </row>
    <row r="140" spans="1:20" ht="17.25" customHeight="1">
      <c r="A140" s="313" t="s">
        <v>6</v>
      </c>
      <c r="B140" s="380" t="s">
        <v>681</v>
      </c>
      <c r="C140" s="380"/>
      <c r="D140" s="380"/>
      <c r="E140" s="380"/>
      <c r="F140" s="380"/>
      <c r="G140" s="380"/>
      <c r="H140" s="380"/>
      <c r="I140" s="380"/>
      <c r="J140" s="380"/>
      <c r="K140" s="329">
        <f>Ferramentas!H112</f>
        <v>480.87833333333339</v>
      </c>
    </row>
    <row r="141" spans="1:20" ht="17.25" customHeight="1">
      <c r="A141" s="313" t="s">
        <v>8</v>
      </c>
      <c r="B141" s="380" t="s">
        <v>682</v>
      </c>
      <c r="C141" s="380"/>
      <c r="D141" s="380"/>
      <c r="E141" s="380"/>
      <c r="F141" s="380"/>
      <c r="G141" s="380"/>
      <c r="H141" s="380"/>
      <c r="I141" s="380"/>
      <c r="J141" s="380"/>
      <c r="K141" s="329">
        <f>Equipamentos!J19</f>
        <v>140.5</v>
      </c>
    </row>
    <row r="142" spans="1:20" ht="17.25" customHeight="1">
      <c r="A142" s="313" t="s">
        <v>10</v>
      </c>
      <c r="B142" s="415" t="s">
        <v>22</v>
      </c>
      <c r="C142" s="415"/>
      <c r="D142" s="415"/>
      <c r="E142" s="415"/>
      <c r="F142" s="415"/>
      <c r="G142" s="415"/>
      <c r="H142" s="415"/>
      <c r="I142" s="415"/>
      <c r="J142" s="415"/>
      <c r="K142" s="314"/>
      <c r="M142" s="257">
        <f>K139</f>
        <v>114.59444444444443</v>
      </c>
      <c r="N142" s="257">
        <f>K169-K168</f>
        <v>6811.77</v>
      </c>
      <c r="O142" s="258">
        <f>M142/N142</f>
        <v>1.6823005539594618E-2</v>
      </c>
      <c r="P142" s="258">
        <f>O142*100</f>
        <v>1.6823005539594618</v>
      </c>
    </row>
    <row r="143" spans="1:20" ht="17.25" customHeight="1">
      <c r="A143" s="390" t="s">
        <v>53</v>
      </c>
      <c r="B143" s="390"/>
      <c r="C143" s="390"/>
      <c r="D143" s="390"/>
      <c r="E143" s="390"/>
      <c r="F143" s="390"/>
      <c r="G143" s="390"/>
      <c r="H143" s="390"/>
      <c r="I143" s="390"/>
      <c r="J143" s="390"/>
      <c r="K143" s="267">
        <f>SUM(K137:K142)</f>
        <v>1071.6311111111111</v>
      </c>
      <c r="M143" s="258">
        <f>K139/K143</f>
        <v>0.10693460021483346</v>
      </c>
      <c r="N143" s="258"/>
      <c r="O143" s="258"/>
      <c r="P143" s="258"/>
    </row>
    <row r="144" spans="1:20" s="121" customFormat="1" ht="17.25" customHeight="1">
      <c r="A144" s="455"/>
      <c r="B144" s="455"/>
      <c r="C144" s="455"/>
      <c r="D144" s="455"/>
      <c r="E144" s="455"/>
      <c r="F144" s="455"/>
      <c r="G144" s="455"/>
      <c r="H144" s="455"/>
      <c r="I144" s="455"/>
      <c r="J144" s="455"/>
      <c r="K144" s="455"/>
      <c r="M144" s="116"/>
      <c r="N144" s="116"/>
      <c r="O144" s="116"/>
      <c r="P144" s="116"/>
      <c r="Q144" s="116"/>
      <c r="R144" s="116"/>
      <c r="S144" s="116"/>
      <c r="T144" s="116"/>
    </row>
    <row r="145" spans="1:20" ht="17.25" customHeight="1">
      <c r="A145" s="390" t="s">
        <v>94</v>
      </c>
      <c r="B145" s="390"/>
      <c r="C145" s="390"/>
      <c r="D145" s="390"/>
      <c r="E145" s="390"/>
      <c r="F145" s="390"/>
      <c r="G145" s="390"/>
      <c r="H145" s="390"/>
      <c r="I145" s="390"/>
      <c r="J145" s="390"/>
      <c r="K145" s="263">
        <f>SUM(K35,K74,K101,K134,K143)</f>
        <v>6811.7711111111103</v>
      </c>
      <c r="M145" s="122"/>
    </row>
    <row r="146" spans="1:20" s="121" customFormat="1" ht="17.25" customHeight="1">
      <c r="A146" s="455"/>
      <c r="B146" s="455"/>
      <c r="C146" s="455"/>
      <c r="D146" s="455"/>
      <c r="E146" s="455"/>
      <c r="F146" s="455"/>
      <c r="G146" s="455"/>
      <c r="H146" s="455"/>
      <c r="I146" s="455"/>
      <c r="J146" s="455"/>
      <c r="K146" s="455"/>
      <c r="M146" s="116"/>
      <c r="N146" s="116"/>
      <c r="O146" s="116"/>
      <c r="P146" s="116"/>
      <c r="Q146" s="116"/>
      <c r="R146" s="116"/>
      <c r="S146" s="116"/>
      <c r="T146" s="116"/>
    </row>
    <row r="147" spans="1:20" ht="6.75" customHeight="1">
      <c r="A147" s="408"/>
      <c r="B147" s="408"/>
      <c r="C147" s="408"/>
      <c r="D147" s="408"/>
      <c r="E147" s="408"/>
      <c r="F147" s="408"/>
      <c r="G147" s="408"/>
      <c r="H147" s="408"/>
      <c r="I147" s="408"/>
      <c r="J147" s="408"/>
      <c r="K147" s="408"/>
    </row>
    <row r="148" spans="1:20" ht="17.25" customHeight="1">
      <c r="A148" s="390" t="s">
        <v>54</v>
      </c>
      <c r="B148" s="390"/>
      <c r="C148" s="390"/>
      <c r="D148" s="390"/>
      <c r="E148" s="390"/>
      <c r="F148" s="390"/>
      <c r="G148" s="390"/>
      <c r="H148" s="390"/>
      <c r="I148" s="390"/>
      <c r="J148" s="390"/>
      <c r="K148" s="390"/>
    </row>
    <row r="149" spans="1:20" ht="17.25" customHeight="1">
      <c r="A149" s="412"/>
      <c r="B149" s="412"/>
      <c r="C149" s="412"/>
      <c r="D149" s="412"/>
      <c r="E149" s="412"/>
      <c r="F149" s="412"/>
      <c r="G149" s="390" t="s">
        <v>25</v>
      </c>
      <c r="H149" s="390"/>
      <c r="I149" s="456" t="s">
        <v>55</v>
      </c>
      <c r="J149" s="456"/>
      <c r="K149" s="316" t="s">
        <v>20</v>
      </c>
    </row>
    <row r="150" spans="1:20" ht="17.25" customHeight="1">
      <c r="A150" s="313" t="s">
        <v>1</v>
      </c>
      <c r="B150" s="380" t="s">
        <v>56</v>
      </c>
      <c r="C150" s="380"/>
      <c r="D150" s="380"/>
      <c r="E150" s="380"/>
      <c r="F150" s="380"/>
      <c r="G150" s="422">
        <v>7.2999999999999995E-2</v>
      </c>
      <c r="H150" s="422"/>
      <c r="I150" s="379">
        <f>K145</f>
        <v>6811.7711111111103</v>
      </c>
      <c r="J150" s="379"/>
      <c r="K150" s="315">
        <f>ROUND(I150*G150,2)</f>
        <v>497.26</v>
      </c>
      <c r="M150" s="385"/>
      <c r="N150" s="385"/>
      <c r="O150" s="385"/>
      <c r="P150" s="385"/>
      <c r="Q150" s="385"/>
      <c r="R150" s="385"/>
      <c r="S150" s="385"/>
      <c r="T150" s="385"/>
    </row>
    <row r="151" spans="1:20" ht="17.25" customHeight="1">
      <c r="A151" s="313" t="s">
        <v>3</v>
      </c>
      <c r="B151" s="380" t="s">
        <v>57</v>
      </c>
      <c r="C151" s="380"/>
      <c r="D151" s="380"/>
      <c r="E151" s="380"/>
      <c r="F151" s="380"/>
      <c r="G151" s="422">
        <v>8.0299999999999996E-2</v>
      </c>
      <c r="H151" s="422"/>
      <c r="I151" s="379">
        <f>I150+K150</f>
        <v>7309.0311111111105</v>
      </c>
      <c r="J151" s="379"/>
      <c r="K151" s="315">
        <f>ROUND(I151*G151,2)</f>
        <v>586.91999999999996</v>
      </c>
      <c r="M151" s="385"/>
      <c r="N151" s="385"/>
      <c r="O151" s="385"/>
      <c r="P151" s="385"/>
      <c r="Q151" s="385"/>
      <c r="R151" s="385"/>
      <c r="S151" s="385"/>
      <c r="T151" s="385"/>
    </row>
    <row r="152" spans="1:20" ht="17.25" customHeight="1">
      <c r="A152" s="377" t="s">
        <v>5</v>
      </c>
      <c r="B152" s="377" t="s">
        <v>58</v>
      </c>
      <c r="C152" s="377"/>
      <c r="D152" s="377" t="s">
        <v>59</v>
      </c>
      <c r="E152" s="377"/>
      <c r="F152" s="313" t="s">
        <v>60</v>
      </c>
      <c r="G152" s="422">
        <v>6.4999999999999997E-3</v>
      </c>
      <c r="H152" s="422"/>
      <c r="I152" s="379">
        <f>I151+K151</f>
        <v>7895.9511111111105</v>
      </c>
      <c r="J152" s="379"/>
      <c r="K152" s="315">
        <f>ROUND(($I$152/(1-$G$159)*G152),2)</f>
        <v>56.18</v>
      </c>
      <c r="M152" s="458" t="s">
        <v>116</v>
      </c>
      <c r="N152" s="458"/>
      <c r="O152" s="458"/>
      <c r="P152" s="458"/>
      <c r="Q152" s="458"/>
      <c r="R152" s="458"/>
      <c r="S152" s="458"/>
      <c r="T152" s="458"/>
    </row>
    <row r="153" spans="1:20" ht="17.25" customHeight="1">
      <c r="A153" s="377"/>
      <c r="B153" s="377"/>
      <c r="C153" s="377"/>
      <c r="D153" s="377"/>
      <c r="E153" s="377"/>
      <c r="F153" s="313" t="s">
        <v>61</v>
      </c>
      <c r="G153" s="422">
        <v>0.03</v>
      </c>
      <c r="H153" s="422"/>
      <c r="I153" s="379"/>
      <c r="J153" s="379"/>
      <c r="K153" s="315">
        <f>ROUND(($I$152/(1-$G$159)*G153),2)</f>
        <v>259.31</v>
      </c>
      <c r="M153" s="452" t="s">
        <v>117</v>
      </c>
      <c r="N153" s="453"/>
      <c r="O153" s="453"/>
      <c r="P153" s="453"/>
      <c r="Q153" s="453"/>
      <c r="R153" s="453"/>
      <c r="S153" s="453"/>
      <c r="T153" s="454"/>
    </row>
    <row r="154" spans="1:20" ht="17.25" customHeight="1">
      <c r="A154" s="377"/>
      <c r="B154" s="377"/>
      <c r="C154" s="377"/>
      <c r="D154" s="377"/>
      <c r="E154" s="377"/>
      <c r="F154" s="321" t="s">
        <v>62</v>
      </c>
      <c r="G154" s="422"/>
      <c r="H154" s="422"/>
      <c r="I154" s="379"/>
      <c r="J154" s="379"/>
      <c r="K154" s="315">
        <f>ROUND(($I$152/(1-$G$159)*G154),2)</f>
        <v>0</v>
      </c>
      <c r="M154" s="452" t="s">
        <v>184</v>
      </c>
      <c r="N154" s="453"/>
      <c r="O154" s="453"/>
      <c r="P154" s="453"/>
      <c r="Q154" s="453"/>
      <c r="R154" s="453"/>
      <c r="S154" s="453"/>
      <c r="T154" s="454"/>
    </row>
    <row r="155" spans="1:20" ht="17.25" customHeight="1">
      <c r="A155" s="377"/>
      <c r="B155" s="377"/>
      <c r="C155" s="377"/>
      <c r="D155" s="377" t="s">
        <v>63</v>
      </c>
      <c r="E155" s="377"/>
      <c r="F155" s="313" t="s">
        <v>64</v>
      </c>
      <c r="G155" s="405">
        <v>0.05</v>
      </c>
      <c r="H155" s="405"/>
      <c r="I155" s="379"/>
      <c r="J155" s="379"/>
      <c r="K155" s="379">
        <f>ROUND(($I$152/(1-$G$159)*G155),2)</f>
        <v>432.18</v>
      </c>
    </row>
    <row r="156" spans="1:20" ht="17.25" customHeight="1">
      <c r="A156" s="377"/>
      <c r="B156" s="377"/>
      <c r="C156" s="377"/>
      <c r="D156" s="377"/>
      <c r="E156" s="377"/>
      <c r="F156" s="268" t="str">
        <f>K11</f>
        <v>São Paulo / SP</v>
      </c>
      <c r="G156" s="405"/>
      <c r="H156" s="405"/>
      <c r="I156" s="379"/>
      <c r="J156" s="379"/>
      <c r="K156" s="379"/>
    </row>
    <row r="157" spans="1:20" ht="17.25" customHeight="1">
      <c r="A157" s="377"/>
      <c r="B157" s="377"/>
      <c r="C157" s="377"/>
      <c r="D157" s="377"/>
      <c r="E157" s="377"/>
      <c r="F157" s="321" t="s">
        <v>62</v>
      </c>
      <c r="G157" s="422"/>
      <c r="H157" s="422"/>
      <c r="I157" s="379"/>
      <c r="J157" s="379"/>
      <c r="K157" s="315">
        <f>ROUND(($I$152/(1-$G$159)*G157),2)</f>
        <v>0</v>
      </c>
    </row>
    <row r="158" spans="1:20" ht="17.25" customHeight="1">
      <c r="A158" s="377"/>
      <c r="B158" s="377"/>
      <c r="C158" s="377"/>
      <c r="D158" s="423" t="s">
        <v>65</v>
      </c>
      <c r="E158" s="423"/>
      <c r="F158" s="321"/>
      <c r="G158" s="422"/>
      <c r="H158" s="422"/>
      <c r="I158" s="379"/>
      <c r="J158" s="379"/>
      <c r="K158" s="315">
        <f>ROUND(($I$152/(1-$G$159)*G158),2)</f>
        <v>0</v>
      </c>
    </row>
    <row r="159" spans="1:20" ht="17.25" customHeight="1">
      <c r="A159" s="377"/>
      <c r="B159" s="410" t="s">
        <v>66</v>
      </c>
      <c r="C159" s="410"/>
      <c r="D159" s="410"/>
      <c r="E159" s="410"/>
      <c r="F159" s="410"/>
      <c r="G159" s="461">
        <f>SUM(G152:H158)</f>
        <v>8.6499999999999994E-2</v>
      </c>
      <c r="H159" s="461"/>
      <c r="I159" s="462"/>
      <c r="J159" s="462"/>
      <c r="K159" s="269"/>
      <c r="M159" s="123"/>
    </row>
    <row r="160" spans="1:20" ht="17.25" customHeight="1">
      <c r="A160" s="390" t="s">
        <v>67</v>
      </c>
      <c r="B160" s="390"/>
      <c r="C160" s="390"/>
      <c r="D160" s="390"/>
      <c r="E160" s="390"/>
      <c r="F160" s="390"/>
      <c r="G160" s="390"/>
      <c r="H160" s="390"/>
      <c r="I160" s="463">
        <f>((1+G150)*(1+G151))/(1-G159)-1</f>
        <v>0.26892380952380956</v>
      </c>
      <c r="J160" s="463"/>
      <c r="K160" s="263">
        <f>ROUND(SUM(K150:K158),2)</f>
        <v>1831.85</v>
      </c>
    </row>
    <row r="161" spans="1:13" ht="6" customHeight="1">
      <c r="A161" s="417"/>
      <c r="B161" s="417"/>
      <c r="C161" s="417"/>
      <c r="D161" s="417"/>
      <c r="E161" s="417"/>
      <c r="F161" s="417"/>
      <c r="G161" s="417"/>
      <c r="H161" s="417"/>
      <c r="I161" s="417"/>
      <c r="J161" s="417"/>
      <c r="K161" s="417"/>
    </row>
    <row r="162" spans="1:13" ht="19.5" customHeight="1">
      <c r="A162" s="459" t="s">
        <v>105</v>
      </c>
      <c r="B162" s="459"/>
      <c r="C162" s="459"/>
      <c r="D162" s="459"/>
      <c r="E162" s="459"/>
      <c r="F162" s="459"/>
      <c r="G162" s="459"/>
      <c r="H162" s="459"/>
      <c r="I162" s="459"/>
      <c r="J162" s="459"/>
      <c r="K162" s="323" t="s">
        <v>20</v>
      </c>
    </row>
    <row r="163" spans="1:13" ht="17.25" customHeight="1">
      <c r="A163" s="313" t="s">
        <v>1</v>
      </c>
      <c r="B163" s="380" t="s">
        <v>68</v>
      </c>
      <c r="C163" s="380"/>
      <c r="D163" s="380"/>
      <c r="E163" s="380"/>
      <c r="F163" s="380"/>
      <c r="G163" s="380"/>
      <c r="H163" s="380"/>
      <c r="I163" s="380"/>
      <c r="J163" s="380"/>
      <c r="K163" s="315">
        <f>K35</f>
        <v>2639.25</v>
      </c>
    </row>
    <row r="164" spans="1:13" ht="17.25" customHeight="1">
      <c r="A164" s="313" t="s">
        <v>3</v>
      </c>
      <c r="B164" s="380" t="s">
        <v>69</v>
      </c>
      <c r="C164" s="380"/>
      <c r="D164" s="380"/>
      <c r="E164" s="380"/>
      <c r="F164" s="380"/>
      <c r="G164" s="380"/>
      <c r="H164" s="380"/>
      <c r="I164" s="380"/>
      <c r="J164" s="380"/>
      <c r="K164" s="315">
        <f>K74</f>
        <v>2399.9499999999998</v>
      </c>
    </row>
    <row r="165" spans="1:13" ht="17.25" customHeight="1">
      <c r="A165" s="313" t="s">
        <v>5</v>
      </c>
      <c r="B165" s="380" t="s">
        <v>70</v>
      </c>
      <c r="C165" s="380"/>
      <c r="D165" s="380"/>
      <c r="E165" s="380"/>
      <c r="F165" s="380"/>
      <c r="G165" s="380"/>
      <c r="H165" s="380"/>
      <c r="I165" s="380"/>
      <c r="J165" s="380"/>
      <c r="K165" s="315">
        <f>K101</f>
        <v>273.02</v>
      </c>
    </row>
    <row r="166" spans="1:13" ht="17.25" customHeight="1">
      <c r="A166" s="313" t="s">
        <v>6</v>
      </c>
      <c r="B166" s="380" t="s">
        <v>71</v>
      </c>
      <c r="C166" s="380"/>
      <c r="D166" s="380"/>
      <c r="E166" s="380"/>
      <c r="F166" s="380"/>
      <c r="G166" s="380"/>
      <c r="H166" s="380"/>
      <c r="I166" s="380"/>
      <c r="J166" s="380"/>
      <c r="K166" s="315">
        <f>K134</f>
        <v>427.92</v>
      </c>
    </row>
    <row r="167" spans="1:13" ht="17.25" customHeight="1">
      <c r="A167" s="313" t="s">
        <v>8</v>
      </c>
      <c r="B167" s="380" t="s">
        <v>72</v>
      </c>
      <c r="C167" s="380"/>
      <c r="D167" s="380"/>
      <c r="E167" s="380"/>
      <c r="F167" s="380"/>
      <c r="G167" s="380"/>
      <c r="H167" s="380"/>
      <c r="I167" s="380"/>
      <c r="J167" s="380"/>
      <c r="K167" s="315">
        <f>K143</f>
        <v>1071.6311111111111</v>
      </c>
    </row>
    <row r="168" spans="1:13" ht="17.25" customHeight="1">
      <c r="A168" s="313" t="s">
        <v>10</v>
      </c>
      <c r="B168" s="380" t="s">
        <v>73</v>
      </c>
      <c r="C168" s="380"/>
      <c r="D168" s="380"/>
      <c r="E168" s="380"/>
      <c r="F168" s="380"/>
      <c r="G168" s="380"/>
      <c r="H168" s="380"/>
      <c r="I168" s="380"/>
      <c r="J168" s="380"/>
      <c r="K168" s="315">
        <f>K160</f>
        <v>1831.85</v>
      </c>
      <c r="M168" s="116">
        <f>K139/K169</f>
        <v>1.3257691157691386E-2</v>
      </c>
    </row>
    <row r="169" spans="1:13" ht="18" customHeight="1">
      <c r="A169" s="459" t="s">
        <v>74</v>
      </c>
      <c r="B169" s="459"/>
      <c r="C169" s="459"/>
      <c r="D169" s="459"/>
      <c r="E169" s="459"/>
      <c r="F169" s="459"/>
      <c r="G169" s="459"/>
      <c r="H169" s="459"/>
      <c r="I169" s="459"/>
      <c r="J169" s="459"/>
      <c r="K169" s="270">
        <f>ROUND(SUM(K163:K168),2)</f>
        <v>8643.6200000000008</v>
      </c>
    </row>
    <row r="170" spans="1:13" ht="6" customHeight="1">
      <c r="A170" s="460"/>
      <c r="B170" s="460"/>
      <c r="C170" s="460"/>
      <c r="D170" s="460"/>
      <c r="E170" s="460"/>
      <c r="F170" s="460"/>
      <c r="G170" s="460"/>
      <c r="H170" s="460"/>
      <c r="I170" s="460"/>
      <c r="J170" s="460"/>
      <c r="K170" s="460"/>
    </row>
    <row r="172" spans="1:13">
      <c r="A172" s="457" t="s">
        <v>763</v>
      </c>
      <c r="B172" s="457"/>
      <c r="C172" s="457"/>
      <c r="D172" s="457"/>
      <c r="E172" s="457"/>
      <c r="F172" s="457"/>
      <c r="G172" s="457"/>
      <c r="H172" s="457"/>
      <c r="I172" s="457"/>
      <c r="J172" s="457"/>
      <c r="K172" s="457"/>
    </row>
  </sheetData>
  <sheetProtection algorithmName="SHA-512" hashValue="CVxWGsnHactdupqeSvlopKJN7iT23pfyLbH861azxPa/JRjuXYg9rkJ825t7gOQmgkEtWkVGY02qy0CgxxGBJA==" saltValue="ogWlmhEsYcmSICeMFIjYnA==" spinCount="100000" sheet="1" selectLockedCells="1"/>
  <mergeCells count="257">
    <mergeCell ref="A120:J120"/>
    <mergeCell ref="A121:J121"/>
    <mergeCell ref="A122:J122"/>
    <mergeCell ref="A123:J123"/>
    <mergeCell ref="A124:J124"/>
    <mergeCell ref="A125:J125"/>
    <mergeCell ref="A126:J126"/>
    <mergeCell ref="A127:J127"/>
    <mergeCell ref="A115:E115"/>
    <mergeCell ref="H115:J115"/>
    <mergeCell ref="A116:E116"/>
    <mergeCell ref="H116:J116"/>
    <mergeCell ref="A117:E117"/>
    <mergeCell ref="H117:J117"/>
    <mergeCell ref="A118:E118"/>
    <mergeCell ref="H118:J118"/>
    <mergeCell ref="A119:J119"/>
    <mergeCell ref="A110:E110"/>
    <mergeCell ref="H110:J110"/>
    <mergeCell ref="A111:E111"/>
    <mergeCell ref="H111:J111"/>
    <mergeCell ref="A112:E112"/>
    <mergeCell ref="H112:J112"/>
    <mergeCell ref="A113:E113"/>
    <mergeCell ref="H113:J113"/>
    <mergeCell ref="A114:E114"/>
    <mergeCell ref="H114:J114"/>
    <mergeCell ref="A105:K105"/>
    <mergeCell ref="A106:E106"/>
    <mergeCell ref="H106:J106"/>
    <mergeCell ref="A107:E107"/>
    <mergeCell ref="H107:J107"/>
    <mergeCell ref="A108:E108"/>
    <mergeCell ref="H108:J108"/>
    <mergeCell ref="A109:E109"/>
    <mergeCell ref="H109:J109"/>
    <mergeCell ref="A97:J97"/>
    <mergeCell ref="A98:G99"/>
    <mergeCell ref="H98:J98"/>
    <mergeCell ref="H99:J99"/>
    <mergeCell ref="A100:J100"/>
    <mergeCell ref="A101:J101"/>
    <mergeCell ref="A102:K102"/>
    <mergeCell ref="A103:K103"/>
    <mergeCell ref="A104:K104"/>
    <mergeCell ref="A89:K89"/>
    <mergeCell ref="A90:J90"/>
    <mergeCell ref="A91:J91"/>
    <mergeCell ref="A92:G93"/>
    <mergeCell ref="H92:J92"/>
    <mergeCell ref="H93:J93"/>
    <mergeCell ref="A94:J94"/>
    <mergeCell ref="A95:K95"/>
    <mergeCell ref="A96:J96"/>
    <mergeCell ref="A81:J81"/>
    <mergeCell ref="A82:J82"/>
    <mergeCell ref="A83:J83"/>
    <mergeCell ref="A84:J84"/>
    <mergeCell ref="A85:J85"/>
    <mergeCell ref="A86:G87"/>
    <mergeCell ref="H86:J86"/>
    <mergeCell ref="H87:J87"/>
    <mergeCell ref="A88:J88"/>
    <mergeCell ref="A172:K172"/>
    <mergeCell ref="G158:H158"/>
    <mergeCell ref="D152:E154"/>
    <mergeCell ref="G152:H152"/>
    <mergeCell ref="I152:J158"/>
    <mergeCell ref="D155:E157"/>
    <mergeCell ref="G154:H154"/>
    <mergeCell ref="M154:T154"/>
    <mergeCell ref="M152:T152"/>
    <mergeCell ref="K155:K156"/>
    <mergeCell ref="A169:J169"/>
    <mergeCell ref="A170:K170"/>
    <mergeCell ref="B159:F159"/>
    <mergeCell ref="G159:H159"/>
    <mergeCell ref="I159:J159"/>
    <mergeCell ref="A161:K161"/>
    <mergeCell ref="A162:J162"/>
    <mergeCell ref="B163:J163"/>
    <mergeCell ref="B164:J164"/>
    <mergeCell ref="B165:J165"/>
    <mergeCell ref="B166:J166"/>
    <mergeCell ref="A160:H160"/>
    <mergeCell ref="I160:J160"/>
    <mergeCell ref="B167:J167"/>
    <mergeCell ref="G151:H151"/>
    <mergeCell ref="A136:K136"/>
    <mergeCell ref="A134:J134"/>
    <mergeCell ref="A133:K133"/>
    <mergeCell ref="G150:H150"/>
    <mergeCell ref="A148:K148"/>
    <mergeCell ref="A130:J130"/>
    <mergeCell ref="A149:F149"/>
    <mergeCell ref="I149:J149"/>
    <mergeCell ref="A145:J145"/>
    <mergeCell ref="A147:K147"/>
    <mergeCell ref="M66:T68"/>
    <mergeCell ref="M52:T53"/>
    <mergeCell ref="G155:H156"/>
    <mergeCell ref="M153:T153"/>
    <mergeCell ref="I150:J150"/>
    <mergeCell ref="B150:F150"/>
    <mergeCell ref="A146:K146"/>
    <mergeCell ref="A144:K144"/>
    <mergeCell ref="A143:J143"/>
    <mergeCell ref="B138:J138"/>
    <mergeCell ref="B142:J142"/>
    <mergeCell ref="B137:J137"/>
    <mergeCell ref="A132:J132"/>
    <mergeCell ref="A129:K129"/>
    <mergeCell ref="B140:J140"/>
    <mergeCell ref="B141:J141"/>
    <mergeCell ref="B139:J139"/>
    <mergeCell ref="A128:K128"/>
    <mergeCell ref="A135:K135"/>
    <mergeCell ref="G149:H149"/>
    <mergeCell ref="B131:J131"/>
    <mergeCell ref="A152:A159"/>
    <mergeCell ref="D158:E158"/>
    <mergeCell ref="M150:T151"/>
    <mergeCell ref="M76:T127"/>
    <mergeCell ref="B40:H40"/>
    <mergeCell ref="I40:J40"/>
    <mergeCell ref="B42:H42"/>
    <mergeCell ref="I42:J42"/>
    <mergeCell ref="B41:H41"/>
    <mergeCell ref="I41:J41"/>
    <mergeCell ref="I43:J43"/>
    <mergeCell ref="A44:K44"/>
    <mergeCell ref="A45:K45"/>
    <mergeCell ref="A49:H49"/>
    <mergeCell ref="I49:J49"/>
    <mergeCell ref="A48:J48"/>
    <mergeCell ref="A47:J47"/>
    <mergeCell ref="A46:J46"/>
    <mergeCell ref="K52:K53"/>
    <mergeCell ref="A52:A53"/>
    <mergeCell ref="I50:J50"/>
    <mergeCell ref="A60:K60"/>
    <mergeCell ref="B68:E68"/>
    <mergeCell ref="G71:J71"/>
    <mergeCell ref="A59:H59"/>
    <mergeCell ref="I59:J59"/>
    <mergeCell ref="M61:T62"/>
    <mergeCell ref="B168:J168"/>
    <mergeCell ref="G157:H157"/>
    <mergeCell ref="B151:F151"/>
    <mergeCell ref="I151:J151"/>
    <mergeCell ref="B152:C158"/>
    <mergeCell ref="G153:H153"/>
    <mergeCell ref="A36:K36"/>
    <mergeCell ref="A37:K37"/>
    <mergeCell ref="A35:J35"/>
    <mergeCell ref="I56:J56"/>
    <mergeCell ref="G65:J65"/>
    <mergeCell ref="A66:A68"/>
    <mergeCell ref="G66:J66"/>
    <mergeCell ref="G69:J69"/>
    <mergeCell ref="A69:A71"/>
    <mergeCell ref="G64:J64"/>
    <mergeCell ref="B55:H55"/>
    <mergeCell ref="I55:J55"/>
    <mergeCell ref="G67:J67"/>
    <mergeCell ref="K70:K71"/>
    <mergeCell ref="I54:J54"/>
    <mergeCell ref="B65:D65"/>
    <mergeCell ref="I58:J58"/>
    <mergeCell ref="I57:J57"/>
    <mergeCell ref="A25:J25"/>
    <mergeCell ref="I33:J33"/>
    <mergeCell ref="I27:J27"/>
    <mergeCell ref="B26:G26"/>
    <mergeCell ref="A31:A33"/>
    <mergeCell ref="B31:F33"/>
    <mergeCell ref="B19:J19"/>
    <mergeCell ref="B20:J20"/>
    <mergeCell ref="B29:G29"/>
    <mergeCell ref="B30:G30"/>
    <mergeCell ref="I26:J26"/>
    <mergeCell ref="A24:K24"/>
    <mergeCell ref="I29:J29"/>
    <mergeCell ref="I30:J30"/>
    <mergeCell ref="G31:G32"/>
    <mergeCell ref="A1:K1"/>
    <mergeCell ref="A2:K2"/>
    <mergeCell ref="A7:K7"/>
    <mergeCell ref="A6:C6"/>
    <mergeCell ref="B27:G27"/>
    <mergeCell ref="A3:C3"/>
    <mergeCell ref="A23:K23"/>
    <mergeCell ref="B21:J21"/>
    <mergeCell ref="B16:J16"/>
    <mergeCell ref="D3:K3"/>
    <mergeCell ref="D5:K5"/>
    <mergeCell ref="B15:J15"/>
    <mergeCell ref="B14:J14"/>
    <mergeCell ref="B18:J18"/>
    <mergeCell ref="B17:J17"/>
    <mergeCell ref="A4:C4"/>
    <mergeCell ref="A5:C5"/>
    <mergeCell ref="B12:J12"/>
    <mergeCell ref="B13:J13"/>
    <mergeCell ref="A8:K8"/>
    <mergeCell ref="A9:K9"/>
    <mergeCell ref="B10:J10"/>
    <mergeCell ref="B11:J11"/>
    <mergeCell ref="D4:K4"/>
    <mergeCell ref="D6:K6"/>
    <mergeCell ref="A39:H39"/>
    <mergeCell ref="I51:J51"/>
    <mergeCell ref="I52:J53"/>
    <mergeCell ref="B72:J72"/>
    <mergeCell ref="K66:K68"/>
    <mergeCell ref="A76:K76"/>
    <mergeCell ref="A75:K75"/>
    <mergeCell ref="A73:J73"/>
    <mergeCell ref="B64:D64"/>
    <mergeCell ref="A61:K61"/>
    <mergeCell ref="B66:F66"/>
    <mergeCell ref="B51:H51"/>
    <mergeCell ref="B52:F53"/>
    <mergeCell ref="B54:H54"/>
    <mergeCell ref="A62:J62"/>
    <mergeCell ref="I31:J32"/>
    <mergeCell ref="B28:G28"/>
    <mergeCell ref="A38:K38"/>
    <mergeCell ref="B34:J34"/>
    <mergeCell ref="A43:H43"/>
    <mergeCell ref="A63:A65"/>
    <mergeCell ref="B69:F69"/>
    <mergeCell ref="B22:J22"/>
    <mergeCell ref="A77:K77"/>
    <mergeCell ref="A78:J78"/>
    <mergeCell ref="A79:J79"/>
    <mergeCell ref="A80:J80"/>
    <mergeCell ref="M26:T26"/>
    <mergeCell ref="B71:F71"/>
    <mergeCell ref="B67:E67"/>
    <mergeCell ref="G70:J70"/>
    <mergeCell ref="G68:J68"/>
    <mergeCell ref="K63:K65"/>
    <mergeCell ref="B58:H58"/>
    <mergeCell ref="M31:T33"/>
    <mergeCell ref="I39:J39"/>
    <mergeCell ref="K31:K33"/>
    <mergeCell ref="H31:H32"/>
    <mergeCell ref="B57:H57"/>
    <mergeCell ref="B56:H56"/>
    <mergeCell ref="B50:H50"/>
    <mergeCell ref="A74:J74"/>
    <mergeCell ref="B70:F70"/>
    <mergeCell ref="B63:F63"/>
    <mergeCell ref="G63:J63"/>
    <mergeCell ref="I28:J28"/>
    <mergeCell ref="M40:T42"/>
  </mergeCells>
  <phoneticPr fontId="17" type="noConversion"/>
  <dataValidations disablePrompts="1" count="1">
    <dataValidation type="custom" allowBlank="1" showInputMessage="1" showErrorMessage="1" sqref="O49">
      <formula1>"0,5 a 1"</formula1>
    </dataValidation>
  </dataValidations>
  <printOptions horizontalCentered="1" verticalCentered="1"/>
  <pageMargins left="0.70866141732283472" right="0.70866141732283472" top="0.74803149606299213" bottom="0.74803149606299213" header="0.31496062992125984" footer="0.31496062992125984"/>
  <pageSetup paperSize="9" scale="53" firstPageNumber="0" fitToHeight="2"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T164"/>
  <sheetViews>
    <sheetView showGridLines="0" showZeros="0" zoomScaleNormal="100" zoomScaleSheetLayoutView="100" zoomScalePageLayoutView="60" workbookViewId="0">
      <selection activeCell="K17" sqref="K17"/>
    </sheetView>
  </sheetViews>
  <sheetFormatPr defaultColWidth="8.7109375" defaultRowHeight="15"/>
  <cols>
    <col min="1" max="1" width="7.140625" style="1" customWidth="1"/>
    <col min="2" max="2" width="6.7109375" style="1" customWidth="1"/>
    <col min="3" max="3" width="6.28515625" style="1" customWidth="1"/>
    <col min="4" max="4" width="8.7109375" style="1"/>
    <col min="5" max="5" width="11.28515625" style="1" customWidth="1"/>
    <col min="6" max="6" width="19.140625" style="1" customWidth="1"/>
    <col min="7" max="8" width="10.7109375" style="1" customWidth="1"/>
    <col min="9" max="9" width="8.7109375" style="1"/>
    <col min="10" max="10" width="7" style="1" customWidth="1"/>
    <col min="11" max="11" width="41.42578125" style="3" customWidth="1"/>
    <col min="12" max="12" width="3.42578125" style="1" customWidth="1"/>
    <col min="13" max="13" width="11.140625" style="22" bestFit="1" customWidth="1"/>
    <col min="14" max="19" width="8.7109375" style="22"/>
    <col min="20" max="20" width="19.5703125" style="22" customWidth="1"/>
    <col min="21" max="16384" width="8.7109375" style="1"/>
  </cols>
  <sheetData>
    <row r="1" spans="1:12" ht="21.75" customHeight="1">
      <c r="A1" s="477" t="s">
        <v>156</v>
      </c>
      <c r="B1" s="478"/>
      <c r="C1" s="478"/>
      <c r="D1" s="478"/>
      <c r="E1" s="478"/>
      <c r="F1" s="478"/>
      <c r="G1" s="478"/>
      <c r="H1" s="478"/>
      <c r="I1" s="478"/>
      <c r="J1" s="478"/>
      <c r="K1" s="479"/>
    </row>
    <row r="2" spans="1:12" ht="6.75" customHeight="1">
      <c r="A2" s="480"/>
      <c r="B2" s="480"/>
      <c r="C2" s="480"/>
      <c r="D2" s="480"/>
      <c r="E2" s="480"/>
      <c r="F2" s="480"/>
      <c r="G2" s="480"/>
      <c r="H2" s="480"/>
      <c r="I2" s="480"/>
      <c r="J2" s="480"/>
      <c r="K2" s="480"/>
    </row>
    <row r="3" spans="1:12" ht="17.25" customHeight="1">
      <c r="A3" s="471" t="s">
        <v>75</v>
      </c>
      <c r="B3" s="471"/>
      <c r="C3" s="471"/>
      <c r="D3" s="472" t="s">
        <v>157</v>
      </c>
      <c r="E3" s="473"/>
      <c r="F3" s="473"/>
      <c r="G3" s="473"/>
      <c r="H3" s="473"/>
      <c r="I3" s="473"/>
      <c r="J3" s="473"/>
      <c r="K3" s="474"/>
    </row>
    <row r="4" spans="1:12" ht="17.25" customHeight="1">
      <c r="A4" s="471" t="s">
        <v>95</v>
      </c>
      <c r="B4" s="471"/>
      <c r="C4" s="471"/>
      <c r="D4" s="472" t="s">
        <v>158</v>
      </c>
      <c r="E4" s="473"/>
      <c r="F4" s="473"/>
      <c r="G4" s="473"/>
      <c r="H4" s="473"/>
      <c r="I4" s="473"/>
      <c r="J4" s="473"/>
      <c r="K4" s="474"/>
    </row>
    <row r="5" spans="1:12" ht="17.25" customHeight="1">
      <c r="A5" s="471" t="s">
        <v>96</v>
      </c>
      <c r="B5" s="471"/>
      <c r="C5" s="471"/>
      <c r="D5" s="472" t="s">
        <v>97</v>
      </c>
      <c r="E5" s="473"/>
      <c r="F5" s="473"/>
      <c r="G5" s="473"/>
      <c r="H5" s="473"/>
      <c r="I5" s="473"/>
      <c r="J5" s="473"/>
      <c r="K5" s="474"/>
    </row>
    <row r="6" spans="1:12" ht="17.25" customHeight="1">
      <c r="A6" s="471" t="s">
        <v>159</v>
      </c>
      <c r="B6" s="471"/>
      <c r="C6" s="471"/>
      <c r="D6" s="472" t="s">
        <v>213</v>
      </c>
      <c r="E6" s="473"/>
      <c r="F6" s="473"/>
      <c r="G6" s="473"/>
      <c r="H6" s="473"/>
      <c r="I6" s="473"/>
      <c r="J6" s="473"/>
      <c r="K6" s="474"/>
    </row>
    <row r="7" spans="1:12" ht="6.75" customHeight="1">
      <c r="A7" s="475"/>
      <c r="B7" s="475"/>
      <c r="C7" s="475"/>
      <c r="D7" s="475"/>
      <c r="E7" s="475"/>
      <c r="F7" s="475"/>
      <c r="G7" s="475"/>
      <c r="H7" s="475"/>
      <c r="I7" s="475"/>
      <c r="J7" s="475"/>
      <c r="K7" s="475"/>
    </row>
    <row r="8" spans="1:12" ht="6.75" customHeight="1">
      <c r="A8" s="476"/>
      <c r="B8" s="476"/>
      <c r="C8" s="476"/>
      <c r="D8" s="476"/>
      <c r="E8" s="476"/>
      <c r="F8" s="476"/>
      <c r="G8" s="476"/>
      <c r="H8" s="476"/>
      <c r="I8" s="476"/>
      <c r="J8" s="476"/>
      <c r="K8" s="476"/>
    </row>
    <row r="9" spans="1:12" ht="17.25" customHeight="1">
      <c r="A9" s="483" t="s">
        <v>0</v>
      </c>
      <c r="B9" s="483"/>
      <c r="C9" s="483"/>
      <c r="D9" s="483"/>
      <c r="E9" s="483"/>
      <c r="F9" s="483"/>
      <c r="G9" s="483"/>
      <c r="H9" s="483"/>
      <c r="I9" s="483"/>
      <c r="J9" s="483"/>
      <c r="K9" s="483"/>
    </row>
    <row r="10" spans="1:12" ht="17.25" customHeight="1">
      <c r="A10" s="32" t="s">
        <v>1</v>
      </c>
      <c r="B10" s="482" t="s">
        <v>2</v>
      </c>
      <c r="C10" s="482"/>
      <c r="D10" s="482"/>
      <c r="E10" s="482"/>
      <c r="F10" s="482"/>
      <c r="G10" s="482"/>
      <c r="H10" s="482"/>
      <c r="I10" s="482"/>
      <c r="J10" s="482"/>
      <c r="K10" s="7"/>
    </row>
    <row r="11" spans="1:12" ht="16.5" customHeight="1">
      <c r="A11" s="32" t="s">
        <v>3</v>
      </c>
      <c r="B11" s="482" t="s">
        <v>4</v>
      </c>
      <c r="C11" s="482"/>
      <c r="D11" s="482"/>
      <c r="E11" s="482"/>
      <c r="F11" s="482"/>
      <c r="G11" s="482"/>
      <c r="H11" s="482"/>
      <c r="I11" s="482"/>
      <c r="J11" s="482"/>
      <c r="K11" s="44" t="s">
        <v>214</v>
      </c>
    </row>
    <row r="12" spans="1:12">
      <c r="A12" s="32" t="s">
        <v>5</v>
      </c>
      <c r="B12" s="482" t="s">
        <v>120</v>
      </c>
      <c r="C12" s="482"/>
      <c r="D12" s="482"/>
      <c r="E12" s="482"/>
      <c r="F12" s="482"/>
      <c r="G12" s="482"/>
      <c r="H12" s="482"/>
      <c r="I12" s="482"/>
      <c r="J12" s="482"/>
      <c r="K12" s="45" t="s">
        <v>220</v>
      </c>
    </row>
    <row r="13" spans="1:12" ht="16.5" customHeight="1">
      <c r="A13" s="32" t="s">
        <v>6</v>
      </c>
      <c r="B13" s="481" t="s">
        <v>77</v>
      </c>
      <c r="C13" s="481"/>
      <c r="D13" s="481"/>
      <c r="E13" s="481"/>
      <c r="F13" s="481"/>
      <c r="G13" s="481"/>
      <c r="H13" s="481"/>
      <c r="I13" s="481"/>
      <c r="J13" s="481"/>
      <c r="K13" s="44" t="s">
        <v>160</v>
      </c>
    </row>
    <row r="14" spans="1:12" ht="16.5" customHeight="1">
      <c r="A14" s="32" t="s">
        <v>8</v>
      </c>
      <c r="B14" s="481" t="s">
        <v>127</v>
      </c>
      <c r="C14" s="481"/>
      <c r="D14" s="481"/>
      <c r="E14" s="481"/>
      <c r="F14" s="481"/>
      <c r="G14" s="481"/>
      <c r="H14" s="481"/>
      <c r="I14" s="481"/>
      <c r="J14" s="481"/>
      <c r="K14" s="40" t="s">
        <v>223</v>
      </c>
    </row>
    <row r="15" spans="1:12" ht="16.5" customHeight="1">
      <c r="A15" s="32" t="s">
        <v>10</v>
      </c>
      <c r="B15" s="481" t="s">
        <v>7</v>
      </c>
      <c r="C15" s="481"/>
      <c r="D15" s="481"/>
      <c r="E15" s="481"/>
      <c r="F15" s="481"/>
      <c r="G15" s="481"/>
      <c r="H15" s="481"/>
      <c r="I15" s="481"/>
      <c r="J15" s="481"/>
      <c r="K15" s="44" t="s">
        <v>161</v>
      </c>
    </row>
    <row r="16" spans="1:12" ht="16.5" customHeight="1">
      <c r="A16" s="32" t="s">
        <v>11</v>
      </c>
      <c r="B16" s="481" t="s">
        <v>9</v>
      </c>
      <c r="C16" s="481"/>
      <c r="D16" s="481"/>
      <c r="E16" s="481"/>
      <c r="F16" s="481"/>
      <c r="G16" s="481"/>
      <c r="H16" s="481"/>
      <c r="I16" s="481"/>
      <c r="J16" s="481"/>
      <c r="K16" s="44" t="s">
        <v>247</v>
      </c>
      <c r="L16" s="4"/>
    </row>
    <row r="17" spans="1:20" ht="16.5" customHeight="1">
      <c r="A17" s="32" t="s">
        <v>12</v>
      </c>
      <c r="B17" s="481" t="s">
        <v>143</v>
      </c>
      <c r="C17" s="481"/>
      <c r="D17" s="481"/>
      <c r="E17" s="481"/>
      <c r="F17" s="481"/>
      <c r="G17" s="481"/>
      <c r="H17" s="481"/>
      <c r="I17" s="481"/>
      <c r="J17" s="481"/>
      <c r="K17" s="44">
        <v>1039</v>
      </c>
      <c r="L17" s="4"/>
    </row>
    <row r="18" spans="1:20" ht="16.5" customHeight="1">
      <c r="A18" s="32" t="s">
        <v>14</v>
      </c>
      <c r="B18" s="481" t="s">
        <v>162</v>
      </c>
      <c r="C18" s="481"/>
      <c r="D18" s="481"/>
      <c r="E18" s="481"/>
      <c r="F18" s="481"/>
      <c r="G18" s="481"/>
      <c r="H18" s="481"/>
      <c r="I18" s="481"/>
      <c r="J18" s="481"/>
      <c r="K18" s="44">
        <v>1351.97</v>
      </c>
    </row>
    <row r="19" spans="1:20">
      <c r="A19" s="32" t="s">
        <v>16</v>
      </c>
      <c r="B19" s="482" t="s">
        <v>84</v>
      </c>
      <c r="C19" s="482"/>
      <c r="D19" s="482"/>
      <c r="E19" s="482"/>
      <c r="F19" s="482"/>
      <c r="G19" s="482"/>
      <c r="H19" s="482"/>
      <c r="I19" s="482"/>
      <c r="J19" s="482"/>
      <c r="K19" s="8" t="s">
        <v>215</v>
      </c>
    </row>
    <row r="20" spans="1:20" ht="16.5" customHeight="1">
      <c r="A20" s="32" t="s">
        <v>76</v>
      </c>
      <c r="B20" s="482" t="s">
        <v>13</v>
      </c>
      <c r="C20" s="482"/>
      <c r="D20" s="482"/>
      <c r="E20" s="482"/>
      <c r="F20" s="482"/>
      <c r="G20" s="482"/>
      <c r="H20" s="482"/>
      <c r="I20" s="482"/>
      <c r="J20" s="482"/>
      <c r="K20" s="19">
        <v>43466</v>
      </c>
    </row>
    <row r="21" spans="1:20" ht="17.25" customHeight="1">
      <c r="A21" s="32" t="s">
        <v>78</v>
      </c>
      <c r="B21" s="482" t="s">
        <v>15</v>
      </c>
      <c r="C21" s="482"/>
      <c r="D21" s="482"/>
      <c r="E21" s="482"/>
      <c r="F21" s="482"/>
      <c r="G21" s="482"/>
      <c r="H21" s="482"/>
      <c r="I21" s="482"/>
      <c r="J21" s="482"/>
      <c r="K21" s="9" t="s">
        <v>163</v>
      </c>
    </row>
    <row r="22" spans="1:20" ht="17.25" customHeight="1">
      <c r="A22" s="32" t="s">
        <v>142</v>
      </c>
      <c r="B22" s="482" t="s">
        <v>17</v>
      </c>
      <c r="C22" s="482"/>
      <c r="D22" s="482"/>
      <c r="E22" s="482"/>
      <c r="F22" s="482"/>
      <c r="G22" s="482"/>
      <c r="H22" s="482"/>
      <c r="I22" s="482"/>
      <c r="J22" s="482"/>
      <c r="K22" s="10">
        <v>12</v>
      </c>
    </row>
    <row r="23" spans="1:20" ht="6.75" customHeight="1">
      <c r="A23" s="476"/>
      <c r="B23" s="476"/>
      <c r="C23" s="476"/>
      <c r="D23" s="476"/>
      <c r="E23" s="476"/>
      <c r="F23" s="476"/>
      <c r="G23" s="476"/>
      <c r="H23" s="476"/>
      <c r="I23" s="476"/>
      <c r="J23" s="476"/>
      <c r="K23" s="476"/>
    </row>
    <row r="24" spans="1:20" ht="17.25" customHeight="1">
      <c r="A24" s="483" t="s">
        <v>18</v>
      </c>
      <c r="B24" s="483"/>
      <c r="C24" s="483"/>
      <c r="D24" s="483"/>
      <c r="E24" s="483"/>
      <c r="F24" s="483"/>
      <c r="G24" s="483"/>
      <c r="H24" s="483"/>
      <c r="I24" s="483"/>
      <c r="J24" s="483"/>
      <c r="K24" s="483"/>
    </row>
    <row r="25" spans="1:20" ht="17.25" customHeight="1">
      <c r="A25" s="483"/>
      <c r="B25" s="483"/>
      <c r="C25" s="483"/>
      <c r="D25" s="483"/>
      <c r="E25" s="483"/>
      <c r="F25" s="483"/>
      <c r="G25" s="483"/>
      <c r="H25" s="483"/>
      <c r="I25" s="483"/>
      <c r="J25" s="483"/>
      <c r="K25" s="42" t="s">
        <v>20</v>
      </c>
    </row>
    <row r="26" spans="1:20" ht="17.25" customHeight="1">
      <c r="A26" s="32" t="s">
        <v>1</v>
      </c>
      <c r="B26" s="481" t="s">
        <v>21</v>
      </c>
      <c r="C26" s="481"/>
      <c r="D26" s="481"/>
      <c r="E26" s="481"/>
      <c r="F26" s="481"/>
      <c r="G26" s="481"/>
      <c r="H26" s="41">
        <v>220</v>
      </c>
      <c r="I26" s="484" t="s">
        <v>126</v>
      </c>
      <c r="J26" s="484"/>
      <c r="K26" s="35">
        <f>K18/220*H26</f>
        <v>1351.97</v>
      </c>
    </row>
    <row r="27" spans="1:20" ht="17.25" customHeight="1">
      <c r="A27" s="32" t="s">
        <v>3</v>
      </c>
      <c r="B27" s="481" t="s">
        <v>98</v>
      </c>
      <c r="C27" s="481"/>
      <c r="D27" s="481"/>
      <c r="E27" s="481"/>
      <c r="F27" s="481"/>
      <c r="G27" s="481"/>
      <c r="H27" s="37">
        <v>0</v>
      </c>
      <c r="I27" s="484" t="s">
        <v>100</v>
      </c>
      <c r="J27" s="484"/>
      <c r="K27" s="44">
        <f>H27*K17</f>
        <v>0</v>
      </c>
      <c r="M27" s="23" t="s">
        <v>153</v>
      </c>
      <c r="N27" s="24"/>
      <c r="O27" s="24"/>
      <c r="P27" s="24"/>
      <c r="Q27" s="24"/>
      <c r="R27" s="24"/>
      <c r="S27" s="24"/>
      <c r="T27" s="25"/>
    </row>
    <row r="28" spans="1:20" ht="17.25" customHeight="1">
      <c r="A28" s="32" t="s">
        <v>5</v>
      </c>
      <c r="B28" s="481" t="s">
        <v>99</v>
      </c>
      <c r="C28" s="481"/>
      <c r="D28" s="481"/>
      <c r="E28" s="481"/>
      <c r="F28" s="481"/>
      <c r="G28" s="481"/>
      <c r="H28" s="37"/>
      <c r="I28" s="484" t="s">
        <v>100</v>
      </c>
      <c r="J28" s="484"/>
      <c r="K28" s="44">
        <f>H28*K17</f>
        <v>0</v>
      </c>
      <c r="M28" s="23" t="s">
        <v>153</v>
      </c>
      <c r="N28" s="24"/>
      <c r="O28" s="24"/>
      <c r="P28" s="24"/>
      <c r="Q28" s="24"/>
      <c r="R28" s="24"/>
      <c r="S28" s="24"/>
      <c r="T28" s="25"/>
    </row>
    <row r="29" spans="1:20" ht="17.25" customHeight="1">
      <c r="A29" s="32" t="s">
        <v>6</v>
      </c>
      <c r="B29" s="485" t="s">
        <v>101</v>
      </c>
      <c r="C29" s="486"/>
      <c r="D29" s="486"/>
      <c r="E29" s="486"/>
      <c r="F29" s="486"/>
      <c r="G29" s="487"/>
      <c r="H29" s="37"/>
      <c r="I29" s="484" t="s">
        <v>100</v>
      </c>
      <c r="J29" s="484"/>
      <c r="K29" s="44">
        <f>H29*K26</f>
        <v>0</v>
      </c>
    </row>
    <row r="30" spans="1:20" ht="17.25" customHeight="1">
      <c r="A30" s="32" t="s">
        <v>102</v>
      </c>
      <c r="B30" s="485" t="s">
        <v>103</v>
      </c>
      <c r="C30" s="486"/>
      <c r="D30" s="486"/>
      <c r="E30" s="486"/>
      <c r="F30" s="486"/>
      <c r="G30" s="487"/>
      <c r="H30" s="37"/>
      <c r="I30" s="484" t="s">
        <v>100</v>
      </c>
      <c r="J30" s="484"/>
      <c r="K30" s="44">
        <f>H30*K26</f>
        <v>0</v>
      </c>
    </row>
    <row r="31" spans="1:20" ht="17.25" customHeight="1">
      <c r="A31" s="484" t="s">
        <v>10</v>
      </c>
      <c r="B31" s="481" t="s">
        <v>140</v>
      </c>
      <c r="C31" s="481"/>
      <c r="D31" s="481"/>
      <c r="E31" s="481"/>
      <c r="F31" s="481"/>
      <c r="G31" s="500" t="s">
        <v>125</v>
      </c>
      <c r="H31" s="501" t="s">
        <v>123</v>
      </c>
      <c r="I31" s="500" t="s">
        <v>124</v>
      </c>
      <c r="J31" s="500"/>
      <c r="K31" s="488">
        <f>ROUND(I33*H33,2)</f>
        <v>0</v>
      </c>
      <c r="M31" s="489" t="s">
        <v>154</v>
      </c>
      <c r="N31" s="490"/>
      <c r="O31" s="490"/>
      <c r="P31" s="490"/>
      <c r="Q31" s="490"/>
      <c r="R31" s="490"/>
      <c r="S31" s="490"/>
      <c r="T31" s="491"/>
    </row>
    <row r="32" spans="1:20" ht="22.5" customHeight="1">
      <c r="A32" s="484"/>
      <c r="B32" s="481"/>
      <c r="C32" s="481"/>
      <c r="D32" s="481"/>
      <c r="E32" s="481"/>
      <c r="F32" s="481"/>
      <c r="G32" s="500"/>
      <c r="H32" s="501"/>
      <c r="I32" s="500"/>
      <c r="J32" s="500"/>
      <c r="K32" s="488"/>
      <c r="M32" s="492"/>
      <c r="N32" s="493"/>
      <c r="O32" s="493"/>
      <c r="P32" s="493"/>
      <c r="Q32" s="493"/>
      <c r="R32" s="493"/>
      <c r="S32" s="493"/>
      <c r="T32" s="494"/>
    </row>
    <row r="33" spans="1:20" ht="17.25" customHeight="1">
      <c r="A33" s="484"/>
      <c r="B33" s="481"/>
      <c r="C33" s="481"/>
      <c r="D33" s="481"/>
      <c r="E33" s="481"/>
      <c r="F33" s="481"/>
      <c r="G33" s="37"/>
      <c r="H33" s="41"/>
      <c r="I33" s="498">
        <f>(K26/H26)*(1+G33)</f>
        <v>6.1453181818181823</v>
      </c>
      <c r="J33" s="498"/>
      <c r="K33" s="488"/>
      <c r="M33" s="495"/>
      <c r="N33" s="496"/>
      <c r="O33" s="496"/>
      <c r="P33" s="496"/>
      <c r="Q33" s="496"/>
      <c r="R33" s="496"/>
      <c r="S33" s="496"/>
      <c r="T33" s="497"/>
    </row>
    <row r="34" spans="1:20" ht="17.25" customHeight="1">
      <c r="A34" s="32" t="s">
        <v>11</v>
      </c>
      <c r="B34" s="499" t="s">
        <v>22</v>
      </c>
      <c r="C34" s="499"/>
      <c r="D34" s="499"/>
      <c r="E34" s="499"/>
      <c r="F34" s="499"/>
      <c r="G34" s="499"/>
      <c r="H34" s="499"/>
      <c r="I34" s="499"/>
      <c r="J34" s="499"/>
      <c r="K34" s="44"/>
    </row>
    <row r="35" spans="1:20" ht="17.25" customHeight="1">
      <c r="A35" s="483" t="s">
        <v>23</v>
      </c>
      <c r="B35" s="483"/>
      <c r="C35" s="483"/>
      <c r="D35" s="483"/>
      <c r="E35" s="483"/>
      <c r="F35" s="483"/>
      <c r="G35" s="483"/>
      <c r="H35" s="483"/>
      <c r="I35" s="483"/>
      <c r="J35" s="483"/>
      <c r="K35" s="11">
        <f>ROUND(SUM(K26:K34),2)</f>
        <v>1351.97</v>
      </c>
    </row>
    <row r="36" spans="1:20" ht="6.75" customHeight="1">
      <c r="A36" s="476"/>
      <c r="B36" s="476"/>
      <c r="C36" s="476"/>
      <c r="D36" s="476"/>
      <c r="E36" s="476"/>
      <c r="F36" s="476"/>
      <c r="G36" s="476"/>
      <c r="H36" s="476"/>
      <c r="I36" s="476"/>
      <c r="J36" s="476"/>
      <c r="K36" s="476"/>
    </row>
    <row r="37" spans="1:20" ht="17.25" customHeight="1">
      <c r="A37" s="483" t="s">
        <v>24</v>
      </c>
      <c r="B37" s="483"/>
      <c r="C37" s="483"/>
      <c r="D37" s="483"/>
      <c r="E37" s="483"/>
      <c r="F37" s="483"/>
      <c r="G37" s="483"/>
      <c r="H37" s="483"/>
      <c r="I37" s="483"/>
      <c r="J37" s="483"/>
      <c r="K37" s="483"/>
    </row>
    <row r="38" spans="1:20" ht="17.25" customHeight="1">
      <c r="A38" s="514" t="s">
        <v>121</v>
      </c>
      <c r="B38" s="514"/>
      <c r="C38" s="514"/>
      <c r="D38" s="514"/>
      <c r="E38" s="514"/>
      <c r="F38" s="514"/>
      <c r="G38" s="514"/>
      <c r="H38" s="514"/>
      <c r="I38" s="514"/>
      <c r="J38" s="514"/>
      <c r="K38" s="514"/>
      <c r="M38" s="26"/>
    </row>
    <row r="39" spans="1:20" s="2" customFormat="1" ht="17.25" customHeight="1">
      <c r="A39" s="516"/>
      <c r="B39" s="516"/>
      <c r="C39" s="516"/>
      <c r="D39" s="516"/>
      <c r="E39" s="516"/>
      <c r="F39" s="516"/>
      <c r="G39" s="516"/>
      <c r="H39" s="516"/>
      <c r="I39" s="483" t="s">
        <v>25</v>
      </c>
      <c r="J39" s="483"/>
      <c r="K39" s="42" t="s">
        <v>20</v>
      </c>
      <c r="M39" s="22"/>
      <c r="N39" s="22"/>
      <c r="O39" s="22"/>
      <c r="P39" s="22"/>
      <c r="Q39" s="22"/>
      <c r="R39" s="22"/>
      <c r="S39" s="22"/>
      <c r="T39" s="22"/>
    </row>
    <row r="40" spans="1:20" ht="17.25" customHeight="1">
      <c r="A40" s="32" t="s">
        <v>1</v>
      </c>
      <c r="B40" s="482" t="s">
        <v>122</v>
      </c>
      <c r="C40" s="482"/>
      <c r="D40" s="482"/>
      <c r="E40" s="482"/>
      <c r="F40" s="482"/>
      <c r="G40" s="482"/>
      <c r="H40" s="482"/>
      <c r="I40" s="511">
        <f>ROUND(1/12,4)</f>
        <v>8.3299999999999999E-2</v>
      </c>
      <c r="J40" s="511"/>
      <c r="K40" s="36">
        <f>ROUND(I40*$K$35,2)</f>
        <v>112.62</v>
      </c>
      <c r="M40" s="502" t="s">
        <v>108</v>
      </c>
      <c r="N40" s="503"/>
      <c r="O40" s="503"/>
      <c r="P40" s="503"/>
      <c r="Q40" s="503"/>
      <c r="R40" s="503"/>
      <c r="S40" s="503"/>
      <c r="T40" s="504"/>
    </row>
    <row r="41" spans="1:20" ht="17.25" customHeight="1">
      <c r="A41" s="32" t="s">
        <v>3</v>
      </c>
      <c r="B41" s="481" t="s">
        <v>26</v>
      </c>
      <c r="C41" s="481"/>
      <c r="D41" s="481"/>
      <c r="E41" s="481"/>
      <c r="F41" s="481"/>
      <c r="G41" s="481"/>
      <c r="H41" s="481"/>
      <c r="I41" s="511">
        <f>ROUND(1/3/12,4)</f>
        <v>2.7799999999999998E-2</v>
      </c>
      <c r="J41" s="511"/>
      <c r="K41" s="36">
        <f>ROUND(I41*$K$35,2)</f>
        <v>37.58</v>
      </c>
      <c r="M41" s="505"/>
      <c r="N41" s="506"/>
      <c r="O41" s="506"/>
      <c r="P41" s="506"/>
      <c r="Q41" s="506"/>
      <c r="R41" s="506"/>
      <c r="S41" s="506"/>
      <c r="T41" s="507"/>
    </row>
    <row r="42" spans="1:20" ht="17.25" customHeight="1">
      <c r="A42" s="20" t="s">
        <v>5</v>
      </c>
      <c r="B42" s="512" t="s">
        <v>141</v>
      </c>
      <c r="C42" s="512"/>
      <c r="D42" s="512"/>
      <c r="E42" s="512"/>
      <c r="F42" s="512"/>
      <c r="G42" s="512"/>
      <c r="H42" s="512"/>
      <c r="I42" s="513">
        <f>ROUND(1/12,4)</f>
        <v>8.3299999999999999E-2</v>
      </c>
      <c r="J42" s="513"/>
      <c r="K42" s="35">
        <f>ROUND(I42*$K$35,2)</f>
        <v>112.62</v>
      </c>
      <c r="M42" s="508"/>
      <c r="N42" s="509"/>
      <c r="O42" s="509"/>
      <c r="P42" s="509"/>
      <c r="Q42" s="509"/>
      <c r="R42" s="509"/>
      <c r="S42" s="509"/>
      <c r="T42" s="510"/>
    </row>
    <row r="43" spans="1:20" ht="17.25" customHeight="1">
      <c r="A43" s="514" t="s">
        <v>27</v>
      </c>
      <c r="B43" s="514"/>
      <c r="C43" s="514"/>
      <c r="D43" s="514"/>
      <c r="E43" s="514"/>
      <c r="F43" s="514"/>
      <c r="G43" s="514"/>
      <c r="H43" s="514"/>
      <c r="I43" s="515">
        <f>SUM(I40:J42)</f>
        <v>0.19440000000000002</v>
      </c>
      <c r="J43" s="515"/>
      <c r="K43" s="12">
        <f>ROUND(SUM(K40:K42),2)</f>
        <v>262.82</v>
      </c>
    </row>
    <row r="44" spans="1:20" ht="6.75" customHeight="1">
      <c r="A44" s="480"/>
      <c r="B44" s="480"/>
      <c r="C44" s="480"/>
      <c r="D44" s="480"/>
      <c r="E44" s="480"/>
      <c r="F44" s="480"/>
      <c r="G44" s="480"/>
      <c r="H44" s="480"/>
      <c r="I44" s="480"/>
      <c r="J44" s="480"/>
      <c r="K44" s="480"/>
    </row>
    <row r="45" spans="1:20" ht="17.25" customHeight="1">
      <c r="A45" s="514" t="s">
        <v>28</v>
      </c>
      <c r="B45" s="514"/>
      <c r="C45" s="514"/>
      <c r="D45" s="514"/>
      <c r="E45" s="514"/>
      <c r="F45" s="514"/>
      <c r="G45" s="514"/>
      <c r="H45" s="514"/>
      <c r="I45" s="514"/>
      <c r="J45" s="514"/>
      <c r="K45" s="514"/>
    </row>
    <row r="46" spans="1:20" ht="17.25" customHeight="1">
      <c r="A46" s="520" t="s">
        <v>68</v>
      </c>
      <c r="B46" s="520"/>
      <c r="C46" s="520"/>
      <c r="D46" s="520"/>
      <c r="E46" s="520"/>
      <c r="F46" s="520"/>
      <c r="G46" s="520"/>
      <c r="H46" s="520"/>
      <c r="I46" s="520"/>
      <c r="J46" s="520"/>
      <c r="K46" s="12">
        <f>K35</f>
        <v>1351.97</v>
      </c>
    </row>
    <row r="47" spans="1:20" ht="17.25" customHeight="1">
      <c r="A47" s="521" t="s">
        <v>79</v>
      </c>
      <c r="B47" s="521"/>
      <c r="C47" s="521"/>
      <c r="D47" s="521"/>
      <c r="E47" s="521"/>
      <c r="F47" s="521"/>
      <c r="G47" s="521"/>
      <c r="H47" s="521"/>
      <c r="I47" s="521"/>
      <c r="J47" s="521"/>
      <c r="K47" s="12">
        <f>K43</f>
        <v>262.82</v>
      </c>
    </row>
    <row r="48" spans="1:20" ht="17.25" customHeight="1">
      <c r="A48" s="521" t="s">
        <v>80</v>
      </c>
      <c r="B48" s="521"/>
      <c r="C48" s="521"/>
      <c r="D48" s="521"/>
      <c r="E48" s="521"/>
      <c r="F48" s="521"/>
      <c r="G48" s="521"/>
      <c r="H48" s="521"/>
      <c r="I48" s="521"/>
      <c r="J48" s="521"/>
      <c r="K48" s="12">
        <f>SUM(K46:K47)</f>
        <v>1614.79</v>
      </c>
    </row>
    <row r="49" spans="1:20" s="2" customFormat="1" ht="17.25" customHeight="1">
      <c r="A49" s="516"/>
      <c r="B49" s="516"/>
      <c r="C49" s="516"/>
      <c r="D49" s="516"/>
      <c r="E49" s="516"/>
      <c r="F49" s="516"/>
      <c r="G49" s="516"/>
      <c r="H49" s="516"/>
      <c r="I49" s="483" t="s">
        <v>25</v>
      </c>
      <c r="J49" s="483"/>
      <c r="K49" s="42" t="s">
        <v>20</v>
      </c>
      <c r="M49" s="71"/>
      <c r="N49" s="71"/>
      <c r="O49" s="71"/>
      <c r="P49" s="71"/>
      <c r="Q49" s="71"/>
      <c r="R49" s="71"/>
      <c r="S49" s="22"/>
      <c r="T49" s="22"/>
    </row>
    <row r="50" spans="1:20" ht="17.25" customHeight="1">
      <c r="A50" s="32" t="s">
        <v>1</v>
      </c>
      <c r="B50" s="482" t="s">
        <v>144</v>
      </c>
      <c r="C50" s="482"/>
      <c r="D50" s="482"/>
      <c r="E50" s="482"/>
      <c r="F50" s="482"/>
      <c r="G50" s="482"/>
      <c r="H50" s="482"/>
      <c r="I50" s="513">
        <v>0.2</v>
      </c>
      <c r="J50" s="513"/>
      <c r="K50" s="36">
        <f>ROUND(I50*$K$48,2)</f>
        <v>322.95999999999998</v>
      </c>
    </row>
    <row r="51" spans="1:20" ht="17.25" customHeight="1">
      <c r="A51" s="32" t="s">
        <v>3</v>
      </c>
      <c r="B51" s="482" t="s">
        <v>145</v>
      </c>
      <c r="C51" s="482"/>
      <c r="D51" s="482"/>
      <c r="E51" s="482"/>
      <c r="F51" s="482"/>
      <c r="G51" s="482"/>
      <c r="H51" s="482"/>
      <c r="I51" s="513">
        <v>2.5000000000000001E-2</v>
      </c>
      <c r="J51" s="513"/>
      <c r="K51" s="36">
        <f t="shared" ref="K51:K58" si="0">ROUND(I51*$K$48,2)</f>
        <v>40.369999999999997</v>
      </c>
    </row>
    <row r="52" spans="1:20" ht="17.25" customHeight="1">
      <c r="A52" s="517" t="s">
        <v>5</v>
      </c>
      <c r="B52" s="518" t="s">
        <v>146</v>
      </c>
      <c r="C52" s="518"/>
      <c r="D52" s="518"/>
      <c r="E52" s="518"/>
      <c r="F52" s="518"/>
      <c r="G52" s="21" t="s">
        <v>118</v>
      </c>
      <c r="H52" s="21" t="s">
        <v>119</v>
      </c>
      <c r="I52" s="519">
        <f>(G53*H53)*100</f>
        <v>0.06</v>
      </c>
      <c r="J52" s="519"/>
      <c r="K52" s="529">
        <f t="shared" si="0"/>
        <v>96.89</v>
      </c>
      <c r="M52" s="530" t="s">
        <v>152</v>
      </c>
      <c r="N52" s="531"/>
      <c r="O52" s="531"/>
      <c r="P52" s="531"/>
      <c r="Q52" s="531"/>
      <c r="R52" s="531"/>
      <c r="S52" s="531"/>
      <c r="T52" s="532"/>
    </row>
    <row r="53" spans="1:20" ht="17.25" customHeight="1">
      <c r="A53" s="517"/>
      <c r="B53" s="518"/>
      <c r="C53" s="518"/>
      <c r="D53" s="518"/>
      <c r="E53" s="518"/>
      <c r="F53" s="518"/>
      <c r="G53" s="62">
        <v>0.03</v>
      </c>
      <c r="H53" s="62">
        <v>0.02</v>
      </c>
      <c r="I53" s="519"/>
      <c r="J53" s="519"/>
      <c r="K53" s="529"/>
      <c r="M53" s="533"/>
      <c r="N53" s="534"/>
      <c r="O53" s="534"/>
      <c r="P53" s="534"/>
      <c r="Q53" s="534"/>
      <c r="R53" s="534"/>
      <c r="S53" s="534"/>
      <c r="T53" s="535"/>
    </row>
    <row r="54" spans="1:20" ht="17.25" customHeight="1">
      <c r="A54" s="32" t="s">
        <v>6</v>
      </c>
      <c r="B54" s="482" t="s">
        <v>147</v>
      </c>
      <c r="C54" s="482"/>
      <c r="D54" s="482"/>
      <c r="E54" s="482"/>
      <c r="F54" s="482"/>
      <c r="G54" s="482"/>
      <c r="H54" s="482"/>
      <c r="I54" s="513">
        <v>1.4999999999999999E-2</v>
      </c>
      <c r="J54" s="513"/>
      <c r="K54" s="36">
        <f t="shared" si="0"/>
        <v>24.22</v>
      </c>
    </row>
    <row r="55" spans="1:20" ht="17.25" customHeight="1">
      <c r="A55" s="32" t="s">
        <v>8</v>
      </c>
      <c r="B55" s="482" t="s">
        <v>148</v>
      </c>
      <c r="C55" s="482"/>
      <c r="D55" s="482"/>
      <c r="E55" s="482"/>
      <c r="F55" s="482"/>
      <c r="G55" s="482"/>
      <c r="H55" s="482"/>
      <c r="I55" s="513">
        <v>0.01</v>
      </c>
      <c r="J55" s="513"/>
      <c r="K55" s="36">
        <f t="shared" si="0"/>
        <v>16.149999999999999</v>
      </c>
    </row>
    <row r="56" spans="1:20" ht="17.25" customHeight="1">
      <c r="A56" s="32" t="s">
        <v>10</v>
      </c>
      <c r="B56" s="482" t="s">
        <v>149</v>
      </c>
      <c r="C56" s="482"/>
      <c r="D56" s="482"/>
      <c r="E56" s="482"/>
      <c r="F56" s="482"/>
      <c r="G56" s="482"/>
      <c r="H56" s="482"/>
      <c r="I56" s="513">
        <v>6.0000000000000001E-3</v>
      </c>
      <c r="J56" s="513"/>
      <c r="K56" s="36">
        <f t="shared" si="0"/>
        <v>9.69</v>
      </c>
    </row>
    <row r="57" spans="1:20" ht="17.25" customHeight="1">
      <c r="A57" s="32" t="s">
        <v>11</v>
      </c>
      <c r="B57" s="482" t="s">
        <v>150</v>
      </c>
      <c r="C57" s="482"/>
      <c r="D57" s="482"/>
      <c r="E57" s="482"/>
      <c r="F57" s="482"/>
      <c r="G57" s="482"/>
      <c r="H57" s="482"/>
      <c r="I57" s="513">
        <v>2E-3</v>
      </c>
      <c r="J57" s="513"/>
      <c r="K57" s="36">
        <f t="shared" si="0"/>
        <v>3.23</v>
      </c>
    </row>
    <row r="58" spans="1:20" ht="17.25" customHeight="1">
      <c r="A58" s="32" t="s">
        <v>12</v>
      </c>
      <c r="B58" s="482" t="s">
        <v>151</v>
      </c>
      <c r="C58" s="482"/>
      <c r="D58" s="482"/>
      <c r="E58" s="482"/>
      <c r="F58" s="482"/>
      <c r="G58" s="482"/>
      <c r="H58" s="482"/>
      <c r="I58" s="513">
        <v>0.08</v>
      </c>
      <c r="J58" s="513"/>
      <c r="K58" s="36">
        <f t="shared" si="0"/>
        <v>129.18</v>
      </c>
    </row>
    <row r="59" spans="1:20" ht="17.25" customHeight="1">
      <c r="A59" s="514" t="s">
        <v>29</v>
      </c>
      <c r="B59" s="514"/>
      <c r="C59" s="514"/>
      <c r="D59" s="514"/>
      <c r="E59" s="514"/>
      <c r="F59" s="514"/>
      <c r="G59" s="514"/>
      <c r="H59" s="514"/>
      <c r="I59" s="515">
        <f>SUM(I50:J58)</f>
        <v>0.39800000000000008</v>
      </c>
      <c r="J59" s="515"/>
      <c r="K59" s="12">
        <f>ROUND(SUM(K50:K58),2)</f>
        <v>642.69000000000005</v>
      </c>
    </row>
    <row r="60" spans="1:20" ht="5.25" customHeight="1">
      <c r="A60" s="545"/>
      <c r="B60" s="545"/>
      <c r="C60" s="545"/>
      <c r="D60" s="545"/>
      <c r="E60" s="545"/>
      <c r="F60" s="545"/>
      <c r="G60" s="545"/>
      <c r="H60" s="545"/>
      <c r="I60" s="545"/>
      <c r="J60" s="545"/>
      <c r="K60" s="545"/>
    </row>
    <row r="61" spans="1:20" ht="17.25" customHeight="1">
      <c r="A61" s="514" t="s">
        <v>30</v>
      </c>
      <c r="B61" s="514"/>
      <c r="C61" s="514"/>
      <c r="D61" s="514"/>
      <c r="E61" s="514"/>
      <c r="F61" s="514"/>
      <c r="G61" s="514"/>
      <c r="H61" s="514"/>
      <c r="I61" s="514"/>
      <c r="J61" s="514"/>
      <c r="K61" s="514"/>
      <c r="M61" s="522" t="s">
        <v>155</v>
      </c>
      <c r="N61" s="523"/>
      <c r="O61" s="523"/>
      <c r="P61" s="523"/>
      <c r="Q61" s="523"/>
      <c r="R61" s="523"/>
      <c r="S61" s="523"/>
      <c r="T61" s="524"/>
    </row>
    <row r="62" spans="1:20" ht="17.25" customHeight="1">
      <c r="A62" s="528"/>
      <c r="B62" s="528"/>
      <c r="C62" s="528"/>
      <c r="D62" s="528"/>
      <c r="E62" s="528"/>
      <c r="F62" s="528"/>
      <c r="G62" s="528"/>
      <c r="H62" s="528"/>
      <c r="I62" s="528"/>
      <c r="J62" s="528"/>
      <c r="K62" s="42" t="s">
        <v>20</v>
      </c>
      <c r="M62" s="525"/>
      <c r="N62" s="526"/>
      <c r="O62" s="526"/>
      <c r="P62" s="526"/>
      <c r="Q62" s="526"/>
      <c r="R62" s="526"/>
      <c r="S62" s="526"/>
      <c r="T62" s="527"/>
    </row>
    <row r="63" spans="1:20" ht="17.25" customHeight="1">
      <c r="A63" s="484" t="s">
        <v>1</v>
      </c>
      <c r="B63" s="536" t="s">
        <v>128</v>
      </c>
      <c r="C63" s="537"/>
      <c r="D63" s="537"/>
      <c r="E63" s="537"/>
      <c r="F63" s="538"/>
      <c r="G63" s="539" t="s">
        <v>216</v>
      </c>
      <c r="H63" s="540"/>
      <c r="I63" s="540"/>
      <c r="J63" s="541"/>
      <c r="K63" s="542">
        <f>ROUND((B65*E65*F65)-G65,2)</f>
        <v>75.08</v>
      </c>
    </row>
    <row r="64" spans="1:20" ht="17.25" customHeight="1">
      <c r="A64" s="484"/>
      <c r="B64" s="543" t="s">
        <v>34</v>
      </c>
      <c r="C64" s="543"/>
      <c r="D64" s="543"/>
      <c r="E64" s="32" t="s">
        <v>32</v>
      </c>
      <c r="F64" s="43" t="s">
        <v>35</v>
      </c>
      <c r="G64" s="543" t="s">
        <v>139</v>
      </c>
      <c r="H64" s="543"/>
      <c r="I64" s="543"/>
      <c r="J64" s="543"/>
      <c r="K64" s="542"/>
    </row>
    <row r="65" spans="1:20" ht="17.25" customHeight="1">
      <c r="A65" s="484"/>
      <c r="B65" s="544">
        <v>2</v>
      </c>
      <c r="C65" s="544"/>
      <c r="D65" s="544"/>
      <c r="E65" s="41">
        <v>22</v>
      </c>
      <c r="F65" s="44">
        <v>3.55</v>
      </c>
      <c r="G65" s="542">
        <f>0.06*K26</f>
        <v>81.118200000000002</v>
      </c>
      <c r="H65" s="542"/>
      <c r="I65" s="542"/>
      <c r="J65" s="542"/>
      <c r="K65" s="542"/>
    </row>
    <row r="66" spans="1:20" ht="17.25" customHeight="1">
      <c r="A66" s="484" t="s">
        <v>3</v>
      </c>
      <c r="B66" s="546" t="s">
        <v>81</v>
      </c>
      <c r="C66" s="547"/>
      <c r="D66" s="547"/>
      <c r="E66" s="547"/>
      <c r="F66" s="548"/>
      <c r="G66" s="539" t="s">
        <v>164</v>
      </c>
      <c r="H66" s="540"/>
      <c r="I66" s="540"/>
      <c r="J66" s="541"/>
      <c r="K66" s="542">
        <f>ROUND((B68-G68)*F68,2)</f>
        <v>347.6</v>
      </c>
      <c r="M66" s="549" t="s">
        <v>132</v>
      </c>
      <c r="N66" s="550"/>
      <c r="O66" s="550"/>
      <c r="P66" s="550"/>
      <c r="Q66" s="550"/>
      <c r="R66" s="550"/>
      <c r="S66" s="550"/>
      <c r="T66" s="551"/>
    </row>
    <row r="67" spans="1:20" ht="17.25" customHeight="1">
      <c r="A67" s="484"/>
      <c r="B67" s="484" t="s">
        <v>82</v>
      </c>
      <c r="C67" s="484"/>
      <c r="D67" s="484"/>
      <c r="E67" s="484"/>
      <c r="F67" s="32" t="s">
        <v>32</v>
      </c>
      <c r="G67" s="484" t="s">
        <v>131</v>
      </c>
      <c r="H67" s="484"/>
      <c r="I67" s="484"/>
      <c r="J67" s="484"/>
      <c r="K67" s="542"/>
      <c r="M67" s="552"/>
      <c r="N67" s="553"/>
      <c r="O67" s="553"/>
      <c r="P67" s="553"/>
      <c r="Q67" s="553"/>
      <c r="R67" s="553"/>
      <c r="S67" s="553"/>
      <c r="T67" s="554"/>
    </row>
    <row r="68" spans="1:20" ht="17.25" customHeight="1">
      <c r="A68" s="484"/>
      <c r="B68" s="488">
        <v>15.93</v>
      </c>
      <c r="C68" s="488"/>
      <c r="D68" s="488"/>
      <c r="E68" s="488"/>
      <c r="F68" s="40">
        <f>E65</f>
        <v>22</v>
      </c>
      <c r="G68" s="529">
        <v>0.13</v>
      </c>
      <c r="H68" s="529"/>
      <c r="I68" s="529"/>
      <c r="J68" s="529"/>
      <c r="K68" s="542"/>
      <c r="M68" s="555"/>
      <c r="N68" s="556"/>
      <c r="O68" s="556"/>
      <c r="P68" s="556"/>
      <c r="Q68" s="556"/>
      <c r="R68" s="556"/>
      <c r="S68" s="556"/>
      <c r="T68" s="557"/>
    </row>
    <row r="69" spans="1:20" ht="17.25" customHeight="1">
      <c r="A69" s="484" t="s">
        <v>5</v>
      </c>
      <c r="B69" s="546" t="s">
        <v>31</v>
      </c>
      <c r="C69" s="547"/>
      <c r="D69" s="547"/>
      <c r="E69" s="547"/>
      <c r="F69" s="548"/>
      <c r="G69" s="539" t="s">
        <v>164</v>
      </c>
      <c r="H69" s="540"/>
      <c r="I69" s="540"/>
      <c r="J69" s="541"/>
      <c r="K69" s="36"/>
    </row>
    <row r="70" spans="1:20" ht="17.25" customHeight="1">
      <c r="A70" s="484"/>
      <c r="B70" s="484" t="s">
        <v>82</v>
      </c>
      <c r="C70" s="484"/>
      <c r="D70" s="484"/>
      <c r="E70" s="484"/>
      <c r="F70" s="484"/>
      <c r="G70" s="484" t="s">
        <v>33</v>
      </c>
      <c r="H70" s="484"/>
      <c r="I70" s="484"/>
      <c r="J70" s="484"/>
      <c r="K70" s="542">
        <f>B71</f>
        <v>110.94</v>
      </c>
    </row>
    <row r="71" spans="1:20" ht="17.25" customHeight="1">
      <c r="A71" s="484"/>
      <c r="B71" s="558">
        <v>110.94</v>
      </c>
      <c r="C71" s="558"/>
      <c r="D71" s="558"/>
      <c r="E71" s="558"/>
      <c r="F71" s="558"/>
      <c r="G71" s="558">
        <v>0</v>
      </c>
      <c r="H71" s="558"/>
      <c r="I71" s="558"/>
      <c r="J71" s="558"/>
      <c r="K71" s="542"/>
    </row>
    <row r="72" spans="1:20" ht="17.25" customHeight="1">
      <c r="A72" s="484" t="s">
        <v>6</v>
      </c>
      <c r="B72" s="546" t="s">
        <v>165</v>
      </c>
      <c r="C72" s="547"/>
      <c r="D72" s="547"/>
      <c r="E72" s="547"/>
      <c r="F72" s="548"/>
      <c r="G72" s="539" t="s">
        <v>164</v>
      </c>
      <c r="H72" s="540"/>
      <c r="I72" s="540"/>
      <c r="J72" s="541"/>
      <c r="K72" s="529">
        <f>B74-G74</f>
        <v>28</v>
      </c>
    </row>
    <row r="73" spans="1:20" ht="17.25" customHeight="1">
      <c r="A73" s="484"/>
      <c r="B73" s="517" t="s">
        <v>166</v>
      </c>
      <c r="C73" s="517"/>
      <c r="D73" s="517"/>
      <c r="E73" s="517"/>
      <c r="F73" s="517"/>
      <c r="G73" s="484" t="s">
        <v>33</v>
      </c>
      <c r="H73" s="484"/>
      <c r="I73" s="484"/>
      <c r="J73" s="484"/>
      <c r="K73" s="529"/>
    </row>
    <row r="74" spans="1:20" ht="17.25" customHeight="1">
      <c r="A74" s="484"/>
      <c r="B74" s="488">
        <v>28</v>
      </c>
      <c r="C74" s="488"/>
      <c r="D74" s="488"/>
      <c r="E74" s="488"/>
      <c r="F74" s="488"/>
      <c r="G74" s="488">
        <v>0</v>
      </c>
      <c r="H74" s="488"/>
      <c r="I74" s="488"/>
      <c r="J74" s="488"/>
      <c r="K74" s="529"/>
    </row>
    <row r="75" spans="1:20" ht="17.25" customHeight="1">
      <c r="A75" s="484" t="s">
        <v>8</v>
      </c>
      <c r="B75" s="546" t="s">
        <v>129</v>
      </c>
      <c r="C75" s="547"/>
      <c r="D75" s="547"/>
      <c r="E75" s="547"/>
      <c r="F75" s="548"/>
      <c r="G75" s="539" t="s">
        <v>217</v>
      </c>
      <c r="H75" s="540"/>
      <c r="I75" s="540"/>
      <c r="J75" s="541"/>
      <c r="K75" s="529">
        <f>F77*G77</f>
        <v>0.12468</v>
      </c>
      <c r="M75" s="559" t="s">
        <v>136</v>
      </c>
      <c r="N75" s="560"/>
      <c r="O75" s="560"/>
      <c r="P75" s="560"/>
      <c r="Q75" s="560"/>
      <c r="R75" s="560"/>
      <c r="S75" s="560"/>
      <c r="T75" s="561"/>
    </row>
    <row r="76" spans="1:20" ht="17.25" customHeight="1">
      <c r="A76" s="484"/>
      <c r="B76" s="517" t="s">
        <v>133</v>
      </c>
      <c r="C76" s="517"/>
      <c r="D76" s="517"/>
      <c r="E76" s="517"/>
      <c r="F76" s="34" t="s">
        <v>134</v>
      </c>
      <c r="G76" s="543" t="s">
        <v>135</v>
      </c>
      <c r="H76" s="543"/>
      <c r="I76" s="543"/>
      <c r="J76" s="543"/>
      <c r="K76" s="529"/>
      <c r="M76" s="562"/>
      <c r="N76" s="563"/>
      <c r="O76" s="563"/>
      <c r="P76" s="563"/>
      <c r="Q76" s="563"/>
      <c r="R76" s="563"/>
      <c r="S76" s="563"/>
      <c r="T76" s="564"/>
    </row>
    <row r="77" spans="1:20" ht="17.25" customHeight="1">
      <c r="A77" s="484"/>
      <c r="B77" s="565">
        <f>K17</f>
        <v>1039</v>
      </c>
      <c r="C77" s="565"/>
      <c r="D77" s="565"/>
      <c r="E77" s="565"/>
      <c r="F77" s="33">
        <f>B77*0.2</f>
        <v>207.8</v>
      </c>
      <c r="G77" s="566">
        <v>5.9999999999999995E-4</v>
      </c>
      <c r="H77" s="566"/>
      <c r="I77" s="566"/>
      <c r="J77" s="566"/>
      <c r="K77" s="529"/>
      <c r="M77" s="562"/>
      <c r="N77" s="563"/>
      <c r="O77" s="563"/>
      <c r="P77" s="563"/>
      <c r="Q77" s="563"/>
      <c r="R77" s="563"/>
      <c r="S77" s="563"/>
      <c r="T77" s="564"/>
    </row>
    <row r="78" spans="1:20" ht="17.25" customHeight="1">
      <c r="A78" s="484" t="s">
        <v>10</v>
      </c>
      <c r="B78" s="546" t="s">
        <v>130</v>
      </c>
      <c r="C78" s="547"/>
      <c r="D78" s="547"/>
      <c r="E78" s="547"/>
      <c r="F78" s="548"/>
      <c r="G78" s="539" t="s">
        <v>218</v>
      </c>
      <c r="H78" s="540"/>
      <c r="I78" s="540"/>
      <c r="J78" s="541"/>
      <c r="K78" s="529">
        <f>F80-G80</f>
        <v>3.3180000000000005</v>
      </c>
      <c r="M78" s="27"/>
      <c r="N78" s="27"/>
      <c r="O78" s="27"/>
      <c r="P78" s="27"/>
      <c r="Q78" s="27"/>
      <c r="R78" s="27"/>
      <c r="S78" s="27"/>
      <c r="T78" s="27"/>
    </row>
    <row r="79" spans="1:20" ht="17.25" customHeight="1">
      <c r="A79" s="484"/>
      <c r="B79" s="517" t="s">
        <v>137</v>
      </c>
      <c r="C79" s="517"/>
      <c r="D79" s="517"/>
      <c r="E79" s="517"/>
      <c r="F79" s="34" t="s">
        <v>138</v>
      </c>
      <c r="G79" s="484" t="s">
        <v>33</v>
      </c>
      <c r="H79" s="484"/>
      <c r="I79" s="484"/>
      <c r="J79" s="484"/>
      <c r="K79" s="529"/>
    </row>
    <row r="80" spans="1:20" ht="17.25" customHeight="1">
      <c r="A80" s="484"/>
      <c r="B80" s="488">
        <v>44.24</v>
      </c>
      <c r="C80" s="488"/>
      <c r="D80" s="488"/>
      <c r="E80" s="488"/>
      <c r="F80" s="33">
        <f>B80/12</f>
        <v>3.686666666666667</v>
      </c>
      <c r="G80" s="488">
        <f>F80*0.1</f>
        <v>0.3686666666666667</v>
      </c>
      <c r="H80" s="488"/>
      <c r="I80" s="488"/>
      <c r="J80" s="488"/>
      <c r="K80" s="529"/>
    </row>
    <row r="81" spans="1:20" ht="17.25" customHeight="1">
      <c r="A81" s="484" t="s">
        <v>11</v>
      </c>
      <c r="B81" s="546" t="s">
        <v>167</v>
      </c>
      <c r="C81" s="547"/>
      <c r="D81" s="547"/>
      <c r="E81" s="547"/>
      <c r="F81" s="548"/>
      <c r="G81" s="539" t="s">
        <v>219</v>
      </c>
      <c r="H81" s="540"/>
      <c r="I81" s="540"/>
      <c r="J81" s="541"/>
      <c r="K81" s="529">
        <f>B83-G83</f>
        <v>9.74</v>
      </c>
    </row>
    <row r="82" spans="1:20" ht="17.25" customHeight="1">
      <c r="A82" s="484"/>
      <c r="B82" s="517" t="s">
        <v>166</v>
      </c>
      <c r="C82" s="517"/>
      <c r="D82" s="517"/>
      <c r="E82" s="517"/>
      <c r="F82" s="517"/>
      <c r="G82" s="484" t="s">
        <v>33</v>
      </c>
      <c r="H82" s="484"/>
      <c r="I82" s="484"/>
      <c r="J82" s="484"/>
      <c r="K82" s="529"/>
    </row>
    <row r="83" spans="1:20" ht="17.25" customHeight="1">
      <c r="A83" s="484"/>
      <c r="B83" s="488">
        <v>9.74</v>
      </c>
      <c r="C83" s="488"/>
      <c r="D83" s="488"/>
      <c r="E83" s="488"/>
      <c r="F83" s="488"/>
      <c r="G83" s="488">
        <v>0</v>
      </c>
      <c r="H83" s="488"/>
      <c r="I83" s="488"/>
      <c r="J83" s="488"/>
      <c r="K83" s="529"/>
    </row>
    <row r="84" spans="1:20" ht="17.25" customHeight="1">
      <c r="A84" s="484" t="s">
        <v>12</v>
      </c>
      <c r="B84" s="546" t="s">
        <v>168</v>
      </c>
      <c r="C84" s="547"/>
      <c r="D84" s="547"/>
      <c r="E84" s="547"/>
      <c r="F84" s="548"/>
      <c r="G84" s="539" t="s">
        <v>219</v>
      </c>
      <c r="H84" s="540"/>
      <c r="I84" s="540"/>
      <c r="J84" s="541"/>
      <c r="K84" s="529">
        <f>B86-G86</f>
        <v>3.93</v>
      </c>
    </row>
    <row r="85" spans="1:20" ht="17.25" customHeight="1">
      <c r="A85" s="484"/>
      <c r="B85" s="517" t="s">
        <v>166</v>
      </c>
      <c r="C85" s="517"/>
      <c r="D85" s="517"/>
      <c r="E85" s="517"/>
      <c r="F85" s="517"/>
      <c r="G85" s="484" t="s">
        <v>33</v>
      </c>
      <c r="H85" s="484"/>
      <c r="I85" s="484"/>
      <c r="J85" s="484"/>
      <c r="K85" s="529"/>
    </row>
    <row r="86" spans="1:20" ht="17.25" customHeight="1">
      <c r="A86" s="484"/>
      <c r="B86" s="488">
        <v>3.93</v>
      </c>
      <c r="C86" s="488"/>
      <c r="D86" s="488"/>
      <c r="E86" s="488"/>
      <c r="F86" s="488"/>
      <c r="G86" s="488">
        <v>0</v>
      </c>
      <c r="H86" s="488"/>
      <c r="I86" s="488"/>
      <c r="J86" s="488"/>
      <c r="K86" s="529"/>
    </row>
    <row r="87" spans="1:20" ht="17.25" customHeight="1">
      <c r="A87" s="32" t="s">
        <v>14</v>
      </c>
      <c r="B87" s="558" t="s">
        <v>83</v>
      </c>
      <c r="C87" s="558"/>
      <c r="D87" s="558"/>
      <c r="E87" s="558"/>
      <c r="F87" s="558"/>
      <c r="G87" s="558"/>
      <c r="H87" s="558"/>
      <c r="I87" s="558"/>
      <c r="J87" s="558"/>
      <c r="K87" s="44"/>
    </row>
    <row r="88" spans="1:20" ht="17.25" customHeight="1">
      <c r="A88" s="514" t="s">
        <v>36</v>
      </c>
      <c r="B88" s="514"/>
      <c r="C88" s="514"/>
      <c r="D88" s="514"/>
      <c r="E88" s="514"/>
      <c r="F88" s="514"/>
      <c r="G88" s="514"/>
      <c r="H88" s="514"/>
      <c r="I88" s="514"/>
      <c r="J88" s="514"/>
      <c r="K88" s="12">
        <f>ROUND(SUM(K62:K87),2)</f>
        <v>578.73</v>
      </c>
    </row>
    <row r="89" spans="1:20" ht="17.25" customHeight="1">
      <c r="A89" s="483" t="s">
        <v>37</v>
      </c>
      <c r="B89" s="483"/>
      <c r="C89" s="483"/>
      <c r="D89" s="483"/>
      <c r="E89" s="483"/>
      <c r="F89" s="483"/>
      <c r="G89" s="483"/>
      <c r="H89" s="483"/>
      <c r="I89" s="483"/>
      <c r="J89" s="483"/>
      <c r="K89" s="11">
        <f>ROUND(SUM(K88,K59,K43),2)</f>
        <v>1484.24</v>
      </c>
    </row>
    <row r="90" spans="1:20" ht="6.75" customHeight="1">
      <c r="A90" s="476"/>
      <c r="B90" s="476"/>
      <c r="C90" s="476"/>
      <c r="D90" s="476"/>
      <c r="E90" s="476"/>
      <c r="F90" s="476"/>
      <c r="G90" s="476"/>
      <c r="H90" s="476"/>
      <c r="I90" s="476"/>
      <c r="J90" s="476"/>
      <c r="K90" s="476"/>
    </row>
    <row r="91" spans="1:20" ht="17.25" customHeight="1">
      <c r="A91" s="483" t="s">
        <v>38</v>
      </c>
      <c r="B91" s="483"/>
      <c r="C91" s="483"/>
      <c r="D91" s="483"/>
      <c r="E91" s="483"/>
      <c r="F91" s="483"/>
      <c r="G91" s="483"/>
      <c r="H91" s="483"/>
      <c r="I91" s="483"/>
      <c r="J91" s="483"/>
      <c r="K91" s="483"/>
      <c r="M91" s="489" t="s">
        <v>109</v>
      </c>
      <c r="N91" s="490"/>
      <c r="O91" s="490"/>
      <c r="P91" s="490"/>
      <c r="Q91" s="490"/>
      <c r="R91" s="490"/>
      <c r="S91" s="490"/>
      <c r="T91" s="491"/>
    </row>
    <row r="92" spans="1:20" ht="17.25" customHeight="1">
      <c r="A92" s="567" t="s">
        <v>68</v>
      </c>
      <c r="B92" s="567"/>
      <c r="C92" s="567"/>
      <c r="D92" s="567"/>
      <c r="E92" s="567"/>
      <c r="F92" s="567"/>
      <c r="G92" s="567"/>
      <c r="H92" s="567"/>
      <c r="I92" s="567"/>
      <c r="J92" s="567"/>
      <c r="K92" s="11">
        <f>K35</f>
        <v>1351.97</v>
      </c>
      <c r="M92" s="495"/>
      <c r="N92" s="496"/>
      <c r="O92" s="496"/>
      <c r="P92" s="496"/>
      <c r="Q92" s="496"/>
      <c r="R92" s="496"/>
      <c r="S92" s="496"/>
      <c r="T92" s="497"/>
    </row>
    <row r="93" spans="1:20" ht="17.25" customHeight="1">
      <c r="A93" s="567" t="s">
        <v>79</v>
      </c>
      <c r="B93" s="567"/>
      <c r="C93" s="567"/>
      <c r="D93" s="567"/>
      <c r="E93" s="567"/>
      <c r="F93" s="567"/>
      <c r="G93" s="567"/>
      <c r="H93" s="567"/>
      <c r="I93" s="567"/>
      <c r="J93" s="567"/>
      <c r="K93" s="11">
        <f>K43</f>
        <v>262.82</v>
      </c>
      <c r="M93" s="489" t="s">
        <v>110</v>
      </c>
      <c r="N93" s="490"/>
      <c r="O93" s="490"/>
      <c r="P93" s="490"/>
      <c r="Q93" s="490"/>
      <c r="R93" s="490"/>
      <c r="S93" s="490"/>
      <c r="T93" s="491"/>
    </row>
    <row r="94" spans="1:20" ht="17.25" customHeight="1">
      <c r="A94" s="567" t="s">
        <v>80</v>
      </c>
      <c r="B94" s="567"/>
      <c r="C94" s="567"/>
      <c r="D94" s="567"/>
      <c r="E94" s="567"/>
      <c r="F94" s="567"/>
      <c r="G94" s="567"/>
      <c r="H94" s="567"/>
      <c r="I94" s="567"/>
      <c r="J94" s="567"/>
      <c r="K94" s="11">
        <f>SUM(K92:K93)</f>
        <v>1614.79</v>
      </c>
      <c r="M94" s="495"/>
      <c r="N94" s="496"/>
      <c r="O94" s="496"/>
      <c r="P94" s="496"/>
      <c r="Q94" s="496"/>
      <c r="R94" s="496"/>
      <c r="S94" s="496"/>
      <c r="T94" s="497"/>
    </row>
    <row r="95" spans="1:20" ht="17.25" customHeight="1">
      <c r="A95" s="528"/>
      <c r="B95" s="528"/>
      <c r="C95" s="528"/>
      <c r="D95" s="528"/>
      <c r="E95" s="528"/>
      <c r="F95" s="528"/>
      <c r="G95" s="528"/>
      <c r="H95" s="483" t="s">
        <v>19</v>
      </c>
      <c r="I95" s="483"/>
      <c r="J95" s="483"/>
      <c r="K95" s="42" t="s">
        <v>20</v>
      </c>
      <c r="M95" s="489" t="s">
        <v>244</v>
      </c>
      <c r="N95" s="490"/>
      <c r="O95" s="490"/>
      <c r="P95" s="490"/>
      <c r="Q95" s="490"/>
      <c r="R95" s="490"/>
      <c r="S95" s="490"/>
      <c r="T95" s="491"/>
    </row>
    <row r="96" spans="1:20" ht="17.25" customHeight="1">
      <c r="A96" s="32" t="s">
        <v>1</v>
      </c>
      <c r="B96" s="481" t="s">
        <v>39</v>
      </c>
      <c r="C96" s="481"/>
      <c r="D96" s="481"/>
      <c r="E96" s="481"/>
      <c r="F96" s="481"/>
      <c r="G96" s="481"/>
      <c r="H96" s="569">
        <v>4.5999999999999999E-3</v>
      </c>
      <c r="I96" s="569"/>
      <c r="J96" s="569"/>
      <c r="K96" s="36">
        <f t="shared" ref="K96:K101" si="1">ROUND(H96*$K$94,2)</f>
        <v>7.43</v>
      </c>
      <c r="M96" s="492"/>
      <c r="N96" s="493"/>
      <c r="O96" s="493"/>
      <c r="P96" s="493"/>
      <c r="Q96" s="493"/>
      <c r="R96" s="493"/>
      <c r="S96" s="493"/>
      <c r="T96" s="494"/>
    </row>
    <row r="97" spans="1:20" ht="17.25" customHeight="1">
      <c r="A97" s="32" t="s">
        <v>3</v>
      </c>
      <c r="B97" s="481" t="s">
        <v>40</v>
      </c>
      <c r="C97" s="481"/>
      <c r="D97" s="481"/>
      <c r="E97" s="481"/>
      <c r="F97" s="481"/>
      <c r="G97" s="481"/>
      <c r="H97" s="569">
        <v>2.9999999999999997E-4</v>
      </c>
      <c r="I97" s="569"/>
      <c r="J97" s="569"/>
      <c r="K97" s="36">
        <f t="shared" si="1"/>
        <v>0.48</v>
      </c>
      <c r="M97" s="492"/>
      <c r="N97" s="493"/>
      <c r="O97" s="493"/>
      <c r="P97" s="493"/>
      <c r="Q97" s="493"/>
      <c r="R97" s="493"/>
      <c r="S97" s="493"/>
      <c r="T97" s="494"/>
    </row>
    <row r="98" spans="1:20" ht="22.5" customHeight="1">
      <c r="A98" s="32" t="s">
        <v>5</v>
      </c>
      <c r="B98" s="568" t="s">
        <v>106</v>
      </c>
      <c r="C98" s="568"/>
      <c r="D98" s="568"/>
      <c r="E98" s="568"/>
      <c r="F98" s="568"/>
      <c r="G98" s="568"/>
      <c r="H98" s="569">
        <v>3.44E-2</v>
      </c>
      <c r="I98" s="569"/>
      <c r="J98" s="569"/>
      <c r="K98" s="36">
        <f t="shared" si="1"/>
        <v>55.55</v>
      </c>
      <c r="M98" s="492"/>
      <c r="N98" s="493"/>
      <c r="O98" s="493"/>
      <c r="P98" s="493"/>
      <c r="Q98" s="493"/>
      <c r="R98" s="493"/>
      <c r="S98" s="493"/>
      <c r="T98" s="494"/>
    </row>
    <row r="99" spans="1:20" ht="17.25" customHeight="1">
      <c r="A99" s="32" t="s">
        <v>6</v>
      </c>
      <c r="B99" s="481" t="s">
        <v>41</v>
      </c>
      <c r="C99" s="481"/>
      <c r="D99" s="481"/>
      <c r="E99" s="481"/>
      <c r="F99" s="481"/>
      <c r="G99" s="481"/>
      <c r="H99" s="569">
        <v>1.9400000000000001E-2</v>
      </c>
      <c r="I99" s="569"/>
      <c r="J99" s="569"/>
      <c r="K99" s="36">
        <f t="shared" si="1"/>
        <v>31.33</v>
      </c>
      <c r="M99" s="492"/>
      <c r="N99" s="493"/>
      <c r="O99" s="493"/>
      <c r="P99" s="493"/>
      <c r="Q99" s="493"/>
      <c r="R99" s="493"/>
      <c r="S99" s="493"/>
      <c r="T99" s="494"/>
    </row>
    <row r="100" spans="1:20" ht="17.25" customHeight="1">
      <c r="A100" s="32" t="s">
        <v>8</v>
      </c>
      <c r="B100" s="481" t="s">
        <v>42</v>
      </c>
      <c r="C100" s="481"/>
      <c r="D100" s="481"/>
      <c r="E100" s="481"/>
      <c r="F100" s="481"/>
      <c r="G100" s="481"/>
      <c r="H100" s="569">
        <v>7.7212000000000018E-3</v>
      </c>
      <c r="I100" s="569"/>
      <c r="J100" s="569"/>
      <c r="K100" s="36">
        <f t="shared" si="1"/>
        <v>12.47</v>
      </c>
      <c r="M100" s="495"/>
      <c r="N100" s="496"/>
      <c r="O100" s="496"/>
      <c r="P100" s="496"/>
      <c r="Q100" s="496"/>
      <c r="R100" s="496"/>
      <c r="S100" s="496"/>
      <c r="T100" s="497"/>
    </row>
    <row r="101" spans="1:20" ht="24" customHeight="1">
      <c r="A101" s="32" t="s">
        <v>10</v>
      </c>
      <c r="B101" s="568" t="s">
        <v>107</v>
      </c>
      <c r="C101" s="568"/>
      <c r="D101" s="568"/>
      <c r="E101" s="568"/>
      <c r="F101" s="568"/>
      <c r="G101" s="568"/>
      <c r="H101" s="569">
        <v>2.4707840000000005E-4</v>
      </c>
      <c r="I101" s="569"/>
      <c r="J101" s="569"/>
      <c r="K101" s="36">
        <f t="shared" si="1"/>
        <v>0.4</v>
      </c>
      <c r="M101" s="489" t="s">
        <v>111</v>
      </c>
      <c r="N101" s="490"/>
      <c r="O101" s="490"/>
      <c r="P101" s="490"/>
      <c r="Q101" s="490"/>
      <c r="R101" s="490"/>
      <c r="S101" s="490"/>
      <c r="T101" s="491"/>
    </row>
    <row r="102" spans="1:20" ht="17.25" customHeight="1">
      <c r="A102" s="483" t="s">
        <v>43</v>
      </c>
      <c r="B102" s="483"/>
      <c r="C102" s="483"/>
      <c r="D102" s="483"/>
      <c r="E102" s="483"/>
      <c r="F102" s="483"/>
      <c r="G102" s="483"/>
      <c r="H102" s="570">
        <f>SUM(H96:J101)</f>
        <v>6.6668278400000003E-2</v>
      </c>
      <c r="I102" s="483"/>
      <c r="J102" s="483"/>
      <c r="K102" s="11">
        <f>ROUND(SUM(K96:K101),2)</f>
        <v>107.66</v>
      </c>
      <c r="M102" s="495"/>
      <c r="N102" s="496"/>
      <c r="O102" s="496"/>
      <c r="P102" s="496"/>
      <c r="Q102" s="496"/>
      <c r="R102" s="496"/>
      <c r="S102" s="496"/>
      <c r="T102" s="497"/>
    </row>
    <row r="103" spans="1:20" ht="6.75" customHeight="1">
      <c r="A103" s="476"/>
      <c r="B103" s="476"/>
      <c r="C103" s="476"/>
      <c r="D103" s="476"/>
      <c r="E103" s="476"/>
      <c r="F103" s="476"/>
      <c r="G103" s="476"/>
      <c r="H103" s="476"/>
      <c r="I103" s="476"/>
      <c r="J103" s="476"/>
      <c r="K103" s="476"/>
      <c r="M103" s="489" t="s">
        <v>245</v>
      </c>
      <c r="N103" s="490"/>
      <c r="O103" s="490"/>
      <c r="P103" s="490"/>
      <c r="Q103" s="490"/>
      <c r="R103" s="490"/>
      <c r="S103" s="490"/>
      <c r="T103" s="491"/>
    </row>
    <row r="104" spans="1:20" ht="17.25" customHeight="1">
      <c r="A104" s="483" t="s">
        <v>44</v>
      </c>
      <c r="B104" s="483"/>
      <c r="C104" s="483"/>
      <c r="D104" s="483"/>
      <c r="E104" s="483"/>
      <c r="F104" s="483"/>
      <c r="G104" s="483"/>
      <c r="H104" s="483"/>
      <c r="I104" s="483"/>
      <c r="J104" s="483"/>
      <c r="K104" s="483"/>
      <c r="M104" s="492"/>
      <c r="N104" s="493"/>
      <c r="O104" s="493"/>
      <c r="P104" s="493"/>
      <c r="Q104" s="493"/>
      <c r="R104" s="493"/>
      <c r="S104" s="493"/>
      <c r="T104" s="494"/>
    </row>
    <row r="105" spans="1:20" ht="17.25" customHeight="1">
      <c r="A105" s="514" t="s">
        <v>85</v>
      </c>
      <c r="B105" s="514"/>
      <c r="C105" s="514"/>
      <c r="D105" s="514"/>
      <c r="E105" s="514"/>
      <c r="F105" s="514"/>
      <c r="G105" s="514"/>
      <c r="H105" s="514"/>
      <c r="I105" s="514"/>
      <c r="J105" s="514"/>
      <c r="K105" s="514"/>
      <c r="M105" s="492"/>
      <c r="N105" s="493"/>
      <c r="O105" s="493"/>
      <c r="P105" s="493"/>
      <c r="Q105" s="493"/>
      <c r="R105" s="493"/>
      <c r="S105" s="493"/>
      <c r="T105" s="494"/>
    </row>
    <row r="106" spans="1:20" ht="17.25" customHeight="1">
      <c r="A106" s="567" t="s">
        <v>68</v>
      </c>
      <c r="B106" s="567"/>
      <c r="C106" s="567"/>
      <c r="D106" s="567"/>
      <c r="E106" s="567"/>
      <c r="F106" s="567"/>
      <c r="G106" s="567"/>
      <c r="H106" s="567"/>
      <c r="I106" s="567"/>
      <c r="J106" s="567"/>
      <c r="K106" s="11">
        <f>K35</f>
        <v>1351.97</v>
      </c>
      <c r="M106" s="492"/>
      <c r="N106" s="493"/>
      <c r="O106" s="493"/>
      <c r="P106" s="493"/>
      <c r="Q106" s="493"/>
      <c r="R106" s="493"/>
      <c r="S106" s="493"/>
      <c r="T106" s="494"/>
    </row>
    <row r="107" spans="1:20" ht="17.25" customHeight="1">
      <c r="A107" s="567" t="s">
        <v>79</v>
      </c>
      <c r="B107" s="567"/>
      <c r="C107" s="567"/>
      <c r="D107" s="567"/>
      <c r="E107" s="567"/>
      <c r="F107" s="567"/>
      <c r="G107" s="567"/>
      <c r="H107" s="567"/>
      <c r="I107" s="567"/>
      <c r="J107" s="567"/>
      <c r="K107" s="11">
        <f>K43</f>
        <v>262.82</v>
      </c>
      <c r="M107" s="495"/>
      <c r="N107" s="496"/>
      <c r="O107" s="496"/>
      <c r="P107" s="496"/>
      <c r="Q107" s="496"/>
      <c r="R107" s="496"/>
      <c r="S107" s="496"/>
      <c r="T107" s="497"/>
    </row>
    <row r="108" spans="1:20" ht="17.25" customHeight="1">
      <c r="A108" s="567" t="s">
        <v>80</v>
      </c>
      <c r="B108" s="567"/>
      <c r="C108" s="567"/>
      <c r="D108" s="567"/>
      <c r="E108" s="567"/>
      <c r="F108" s="567"/>
      <c r="G108" s="567"/>
      <c r="H108" s="567"/>
      <c r="I108" s="567"/>
      <c r="J108" s="567"/>
      <c r="K108" s="11">
        <f>SUM(K106:K107)</f>
        <v>1614.79</v>
      </c>
    </row>
    <row r="109" spans="1:20" ht="17.25" customHeight="1">
      <c r="A109" s="528"/>
      <c r="B109" s="528"/>
      <c r="C109" s="528"/>
      <c r="D109" s="528"/>
      <c r="E109" s="528"/>
      <c r="F109" s="528"/>
      <c r="G109" s="528"/>
      <c r="H109" s="483" t="s">
        <v>19</v>
      </c>
      <c r="I109" s="483"/>
      <c r="J109" s="483"/>
      <c r="K109" s="42" t="s">
        <v>20</v>
      </c>
    </row>
    <row r="110" spans="1:20" ht="17.25" customHeight="1">
      <c r="A110" s="32" t="s">
        <v>1</v>
      </c>
      <c r="B110" s="481" t="s">
        <v>86</v>
      </c>
      <c r="C110" s="481"/>
      <c r="D110" s="481"/>
      <c r="E110" s="481"/>
      <c r="F110" s="481"/>
      <c r="G110" s="481"/>
      <c r="H110" s="569">
        <v>8.3299999999999999E-2</v>
      </c>
      <c r="I110" s="569"/>
      <c r="J110" s="569"/>
      <c r="K110" s="36">
        <f>ROUND(H110*$K$108,2)</f>
        <v>134.51</v>
      </c>
    </row>
    <row r="111" spans="1:20" ht="17.25" customHeight="1">
      <c r="A111" s="484" t="s">
        <v>3</v>
      </c>
      <c r="B111" s="482" t="s">
        <v>87</v>
      </c>
      <c r="C111" s="482"/>
      <c r="D111" s="482"/>
      <c r="E111" s="482"/>
      <c r="F111" s="482"/>
      <c r="G111" s="482"/>
      <c r="H111" s="482"/>
      <c r="I111" s="482"/>
      <c r="J111" s="482"/>
      <c r="K111" s="542">
        <f>ROUND(H112*K108,2)</f>
        <v>26.32</v>
      </c>
      <c r="M111" s="489" t="s">
        <v>112</v>
      </c>
      <c r="N111" s="490"/>
      <c r="O111" s="490"/>
      <c r="P111" s="490"/>
      <c r="Q111" s="490"/>
      <c r="R111" s="490"/>
      <c r="S111" s="490"/>
      <c r="T111" s="491"/>
    </row>
    <row r="112" spans="1:20" ht="17.25" customHeight="1">
      <c r="A112" s="484"/>
      <c r="B112" s="38" t="s">
        <v>88</v>
      </c>
      <c r="C112" s="38"/>
      <c r="D112" s="38"/>
      <c r="E112" s="38"/>
      <c r="F112" s="572">
        <v>5.96</v>
      </c>
      <c r="G112" s="573"/>
      <c r="H112" s="569">
        <v>1.6299999999999999E-2</v>
      </c>
      <c r="I112" s="569"/>
      <c r="J112" s="569"/>
      <c r="K112" s="542"/>
      <c r="M112" s="495"/>
      <c r="N112" s="496"/>
      <c r="O112" s="496"/>
      <c r="P112" s="496"/>
      <c r="Q112" s="496"/>
      <c r="R112" s="496"/>
      <c r="S112" s="496"/>
      <c r="T112" s="497"/>
    </row>
    <row r="113" spans="1:20" ht="17.25" customHeight="1">
      <c r="A113" s="484" t="s">
        <v>5</v>
      </c>
      <c r="B113" s="482" t="s">
        <v>89</v>
      </c>
      <c r="C113" s="482"/>
      <c r="D113" s="482"/>
      <c r="E113" s="482"/>
      <c r="F113" s="482"/>
      <c r="G113" s="482"/>
      <c r="H113" s="482"/>
      <c r="I113" s="482"/>
      <c r="J113" s="482"/>
      <c r="K113" s="542">
        <f>ROUND(H114*K108,2)</f>
        <v>0.24</v>
      </c>
      <c r="M113" s="489" t="s">
        <v>113</v>
      </c>
      <c r="N113" s="490"/>
      <c r="O113" s="490"/>
      <c r="P113" s="490"/>
      <c r="Q113" s="490"/>
      <c r="R113" s="490"/>
      <c r="S113" s="490"/>
      <c r="T113" s="491"/>
    </row>
    <row r="114" spans="1:20" ht="17.25" customHeight="1">
      <c r="A114" s="484"/>
      <c r="B114" s="568" t="s">
        <v>45</v>
      </c>
      <c r="C114" s="568"/>
      <c r="D114" s="568"/>
      <c r="E114" s="568"/>
      <c r="F114" s="568"/>
      <c r="G114" s="568"/>
      <c r="H114" s="571">
        <v>1.4999999999999999E-4</v>
      </c>
      <c r="I114" s="571"/>
      <c r="J114" s="571"/>
      <c r="K114" s="542"/>
      <c r="M114" s="495"/>
      <c r="N114" s="496"/>
      <c r="O114" s="496"/>
      <c r="P114" s="496"/>
      <c r="Q114" s="496"/>
      <c r="R114" s="496"/>
      <c r="S114" s="496"/>
      <c r="T114" s="497"/>
    </row>
    <row r="115" spans="1:20" ht="17.25" customHeight="1">
      <c r="A115" s="484" t="s">
        <v>6</v>
      </c>
      <c r="B115" s="482" t="s">
        <v>90</v>
      </c>
      <c r="C115" s="482"/>
      <c r="D115" s="482"/>
      <c r="E115" s="482"/>
      <c r="F115" s="482"/>
      <c r="G115" s="482"/>
      <c r="H115" s="482"/>
      <c r="I115" s="482"/>
      <c r="J115" s="482"/>
      <c r="K115" s="542">
        <f>ROUND(H116*K108,2)</f>
        <v>5.33</v>
      </c>
      <c r="M115" s="489" t="s">
        <v>114</v>
      </c>
      <c r="N115" s="490"/>
      <c r="O115" s="490"/>
      <c r="P115" s="490"/>
      <c r="Q115" s="490"/>
      <c r="R115" s="490"/>
      <c r="S115" s="490"/>
      <c r="T115" s="491"/>
    </row>
    <row r="116" spans="1:20" ht="15" customHeight="1">
      <c r="A116" s="484"/>
      <c r="B116" s="568" t="s">
        <v>45</v>
      </c>
      <c r="C116" s="568"/>
      <c r="D116" s="568"/>
      <c r="E116" s="568"/>
      <c r="F116" s="568"/>
      <c r="G116" s="568"/>
      <c r="H116" s="569">
        <v>3.3E-3</v>
      </c>
      <c r="I116" s="569"/>
      <c r="J116" s="569"/>
      <c r="K116" s="542"/>
      <c r="M116" s="492"/>
      <c r="N116" s="493"/>
      <c r="O116" s="493"/>
      <c r="P116" s="493"/>
      <c r="Q116" s="493"/>
      <c r="R116" s="493"/>
      <c r="S116" s="493"/>
      <c r="T116" s="494"/>
    </row>
    <row r="117" spans="1:20" ht="18" customHeight="1">
      <c r="A117" s="484" t="s">
        <v>8</v>
      </c>
      <c r="B117" s="482" t="s">
        <v>91</v>
      </c>
      <c r="C117" s="482"/>
      <c r="D117" s="482"/>
      <c r="E117" s="482"/>
      <c r="F117" s="482"/>
      <c r="G117" s="482"/>
      <c r="H117" s="482"/>
      <c r="I117" s="482"/>
      <c r="J117" s="482"/>
      <c r="K117" s="542">
        <f>ROUND(H118*K108,2)</f>
        <v>0.89</v>
      </c>
      <c r="M117" s="492"/>
      <c r="N117" s="493"/>
      <c r="O117" s="493"/>
      <c r="P117" s="493"/>
      <c r="Q117" s="493"/>
      <c r="R117" s="493"/>
      <c r="S117" s="493"/>
      <c r="T117" s="494"/>
    </row>
    <row r="118" spans="1:20" ht="18" customHeight="1">
      <c r="A118" s="484"/>
      <c r="B118" s="481" t="s">
        <v>46</v>
      </c>
      <c r="C118" s="481"/>
      <c r="D118" s="481"/>
      <c r="E118" s="481"/>
      <c r="F118" s="481"/>
      <c r="G118" s="481"/>
      <c r="H118" s="571">
        <v>5.5000000000000003E-4</v>
      </c>
      <c r="I118" s="571"/>
      <c r="J118" s="571"/>
      <c r="K118" s="542"/>
      <c r="M118" s="495"/>
      <c r="N118" s="496"/>
      <c r="O118" s="496"/>
      <c r="P118" s="496"/>
      <c r="Q118" s="496"/>
      <c r="R118" s="496"/>
      <c r="S118" s="496"/>
      <c r="T118" s="497"/>
    </row>
    <row r="119" spans="1:20" ht="18" customHeight="1">
      <c r="A119" s="32" t="s">
        <v>10</v>
      </c>
      <c r="B119" s="499" t="s">
        <v>104</v>
      </c>
      <c r="C119" s="499"/>
      <c r="D119" s="499"/>
      <c r="E119" s="499"/>
      <c r="F119" s="499"/>
      <c r="G119" s="499"/>
      <c r="H119" s="499"/>
      <c r="I119" s="499"/>
      <c r="J119" s="499"/>
      <c r="K119" s="44"/>
      <c r="M119" s="489" t="s">
        <v>115</v>
      </c>
      <c r="N119" s="490"/>
      <c r="O119" s="490"/>
      <c r="P119" s="490"/>
      <c r="Q119" s="490"/>
      <c r="R119" s="490"/>
      <c r="S119" s="490"/>
      <c r="T119" s="491"/>
    </row>
    <row r="120" spans="1:20" ht="18" customHeight="1">
      <c r="A120" s="32"/>
      <c r="B120" s="575" t="s">
        <v>47</v>
      </c>
      <c r="C120" s="575"/>
      <c r="D120" s="575"/>
      <c r="E120" s="575"/>
      <c r="F120" s="575"/>
      <c r="G120" s="575"/>
      <c r="H120" s="576">
        <f>SUM(H110,H112,H114,H116,H118)</f>
        <v>0.10359999999999998</v>
      </c>
      <c r="I120" s="576"/>
      <c r="J120" s="576"/>
      <c r="K120" s="13">
        <f>SUM(K110:K119)</f>
        <v>167.29</v>
      </c>
      <c r="M120" s="495"/>
      <c r="N120" s="496"/>
      <c r="O120" s="496"/>
      <c r="P120" s="496"/>
      <c r="Q120" s="496"/>
      <c r="R120" s="496"/>
      <c r="S120" s="496"/>
      <c r="T120" s="497"/>
    </row>
    <row r="121" spans="1:20" ht="18" customHeight="1">
      <c r="A121" s="32" t="s">
        <v>11</v>
      </c>
      <c r="B121" s="484" t="s">
        <v>48</v>
      </c>
      <c r="C121" s="484"/>
      <c r="D121" s="484"/>
      <c r="E121" s="484"/>
      <c r="F121" s="484"/>
      <c r="G121" s="484"/>
      <c r="H121" s="576">
        <f>H120*I59</f>
        <v>4.12328E-2</v>
      </c>
      <c r="I121" s="576"/>
      <c r="J121" s="576"/>
      <c r="K121" s="36">
        <f>ROUND(H121*K108,2)</f>
        <v>66.58</v>
      </c>
      <c r="M121" s="28"/>
      <c r="N121" s="28"/>
      <c r="O121" s="28"/>
      <c r="P121" s="28"/>
      <c r="Q121" s="28"/>
      <c r="R121" s="28"/>
      <c r="S121" s="28"/>
      <c r="T121" s="28"/>
    </row>
    <row r="122" spans="1:20" ht="18" customHeight="1">
      <c r="A122" s="514" t="s">
        <v>49</v>
      </c>
      <c r="B122" s="514"/>
      <c r="C122" s="514"/>
      <c r="D122" s="514"/>
      <c r="E122" s="514"/>
      <c r="F122" s="514"/>
      <c r="G122" s="514"/>
      <c r="H122" s="515">
        <f>SUM(H120:J121)</f>
        <v>0.14483279999999998</v>
      </c>
      <c r="I122" s="514"/>
      <c r="J122" s="514"/>
      <c r="K122" s="12">
        <f>SUM(K120:K121)</f>
        <v>233.87</v>
      </c>
      <c r="M122" s="28"/>
      <c r="N122" s="29"/>
      <c r="O122" s="29"/>
      <c r="P122" s="29"/>
      <c r="Q122" s="29"/>
      <c r="R122" s="29"/>
      <c r="S122" s="29"/>
      <c r="T122" s="29"/>
    </row>
    <row r="123" spans="1:20" s="2" customFormat="1" ht="5.25" customHeight="1">
      <c r="A123" s="574"/>
      <c r="B123" s="574"/>
      <c r="C123" s="574"/>
      <c r="D123" s="574"/>
      <c r="E123" s="574"/>
      <c r="F123" s="574"/>
      <c r="G123" s="574"/>
      <c r="H123" s="574"/>
      <c r="I123" s="574"/>
      <c r="J123" s="574"/>
      <c r="K123" s="574"/>
      <c r="M123" s="22"/>
      <c r="N123" s="22"/>
      <c r="O123" s="22"/>
      <c r="P123" s="22"/>
      <c r="Q123" s="22"/>
      <c r="R123" s="22"/>
      <c r="S123" s="22"/>
      <c r="T123" s="22"/>
    </row>
    <row r="124" spans="1:20" ht="17.25" customHeight="1">
      <c r="A124" s="575" t="s">
        <v>92</v>
      </c>
      <c r="B124" s="575"/>
      <c r="C124" s="575"/>
      <c r="D124" s="575"/>
      <c r="E124" s="575"/>
      <c r="F124" s="575"/>
      <c r="G124" s="575"/>
      <c r="H124" s="575"/>
      <c r="I124" s="575"/>
      <c r="J124" s="575"/>
      <c r="K124" s="575"/>
    </row>
    <row r="125" spans="1:20" ht="17.25" customHeight="1">
      <c r="A125" s="528"/>
      <c r="B125" s="528"/>
      <c r="C125" s="528"/>
      <c r="D125" s="528"/>
      <c r="E125" s="528"/>
      <c r="F125" s="528"/>
      <c r="G125" s="528"/>
      <c r="H125" s="528"/>
      <c r="I125" s="528"/>
      <c r="J125" s="528"/>
      <c r="K125" s="42" t="s">
        <v>20</v>
      </c>
    </row>
    <row r="126" spans="1:20" ht="17.25" customHeight="1">
      <c r="A126" s="32" t="s">
        <v>1</v>
      </c>
      <c r="B126" s="482" t="s">
        <v>93</v>
      </c>
      <c r="C126" s="482"/>
      <c r="D126" s="482"/>
      <c r="E126" s="482"/>
      <c r="F126" s="482"/>
      <c r="G126" s="482"/>
      <c r="H126" s="482"/>
      <c r="I126" s="482"/>
      <c r="J126" s="482"/>
      <c r="K126" s="36">
        <v>0</v>
      </c>
    </row>
    <row r="127" spans="1:20" ht="17.25" customHeight="1">
      <c r="A127" s="514" t="s">
        <v>50</v>
      </c>
      <c r="B127" s="514"/>
      <c r="C127" s="514"/>
      <c r="D127" s="514"/>
      <c r="E127" s="514"/>
      <c r="F127" s="514"/>
      <c r="G127" s="514"/>
      <c r="H127" s="514"/>
      <c r="I127" s="514"/>
      <c r="J127" s="514"/>
      <c r="K127" s="12">
        <f>K126</f>
        <v>0</v>
      </c>
    </row>
    <row r="128" spans="1:20" ht="5.25" customHeight="1">
      <c r="A128" s="583"/>
      <c r="B128" s="583"/>
      <c r="C128" s="583"/>
      <c r="D128" s="583"/>
      <c r="E128" s="583"/>
      <c r="F128" s="583"/>
      <c r="G128" s="583"/>
      <c r="H128" s="583"/>
      <c r="I128" s="583"/>
      <c r="J128" s="583"/>
      <c r="K128" s="583"/>
    </row>
    <row r="129" spans="1:20" ht="17.25" customHeight="1">
      <c r="A129" s="483" t="s">
        <v>51</v>
      </c>
      <c r="B129" s="483"/>
      <c r="C129" s="483"/>
      <c r="D129" s="483"/>
      <c r="E129" s="483"/>
      <c r="F129" s="483"/>
      <c r="G129" s="483"/>
      <c r="H129" s="483"/>
      <c r="I129" s="483"/>
      <c r="J129" s="483"/>
      <c r="K129" s="11">
        <f>SUM(K122,K127)</f>
        <v>233.87</v>
      </c>
    </row>
    <row r="130" spans="1:20" ht="6.75" customHeight="1">
      <c r="A130" s="476"/>
      <c r="B130" s="476"/>
      <c r="C130" s="476"/>
      <c r="D130" s="476"/>
      <c r="E130" s="476"/>
      <c r="F130" s="476"/>
      <c r="G130" s="476"/>
      <c r="H130" s="476"/>
      <c r="I130" s="476"/>
      <c r="J130" s="476"/>
      <c r="K130" s="476"/>
    </row>
    <row r="131" spans="1:20" ht="17.25" customHeight="1">
      <c r="A131" s="483" t="s">
        <v>52</v>
      </c>
      <c r="B131" s="483"/>
      <c r="C131" s="483"/>
      <c r="D131" s="483"/>
      <c r="E131" s="483"/>
      <c r="F131" s="483"/>
      <c r="G131" s="483"/>
      <c r="H131" s="483"/>
      <c r="I131" s="483"/>
      <c r="J131" s="483"/>
      <c r="K131" s="483"/>
    </row>
    <row r="132" spans="1:20" ht="17.25" customHeight="1">
      <c r="A132" s="32" t="s">
        <v>1</v>
      </c>
      <c r="B132" s="482" t="s">
        <v>188</v>
      </c>
      <c r="C132" s="482"/>
      <c r="D132" s="482"/>
      <c r="E132" s="482"/>
      <c r="F132" s="482"/>
      <c r="G132" s="482"/>
      <c r="H132" s="482"/>
      <c r="I132" s="482"/>
      <c r="J132" s="482"/>
      <c r="K132" s="14">
        <v>35.727499999999999</v>
      </c>
    </row>
    <row r="133" spans="1:20" ht="17.25" customHeight="1">
      <c r="A133" s="32" t="s">
        <v>3</v>
      </c>
      <c r="B133" s="61" t="s">
        <v>189</v>
      </c>
      <c r="C133" s="61"/>
      <c r="D133" s="61"/>
      <c r="E133" s="61"/>
      <c r="F133" s="577" t="s">
        <v>190</v>
      </c>
      <c r="G133" s="578"/>
      <c r="H133" s="578"/>
      <c r="I133" s="579"/>
      <c r="J133" s="63">
        <v>0.12</v>
      </c>
      <c r="K133" s="14">
        <f>(K35+K89+K102+K129+K132)*J133</f>
        <v>385.61609999999996</v>
      </c>
    </row>
    <row r="134" spans="1:20" ht="17.25" customHeight="1">
      <c r="A134" s="32" t="s">
        <v>5</v>
      </c>
      <c r="B134" s="499" t="s">
        <v>22</v>
      </c>
      <c r="C134" s="499"/>
      <c r="D134" s="499"/>
      <c r="E134" s="499"/>
      <c r="F134" s="499"/>
      <c r="G134" s="499"/>
      <c r="H134" s="499"/>
      <c r="I134" s="499"/>
      <c r="J134" s="499"/>
      <c r="K134" s="44"/>
    </row>
    <row r="135" spans="1:20" ht="17.25" customHeight="1">
      <c r="A135" s="483" t="s">
        <v>53</v>
      </c>
      <c r="B135" s="483"/>
      <c r="C135" s="483"/>
      <c r="D135" s="483"/>
      <c r="E135" s="483"/>
      <c r="F135" s="483"/>
      <c r="G135" s="483"/>
      <c r="H135" s="483"/>
      <c r="I135" s="483"/>
      <c r="J135" s="483"/>
      <c r="K135" s="15">
        <f>SUM(K132:K134)</f>
        <v>421.34359999999998</v>
      </c>
    </row>
    <row r="136" spans="1:20" s="5" customFormat="1" ht="17.25" customHeight="1">
      <c r="A136" s="580"/>
      <c r="B136" s="581"/>
      <c r="C136" s="581"/>
      <c r="D136" s="581"/>
      <c r="E136" s="581"/>
      <c r="F136" s="581"/>
      <c r="G136" s="581"/>
      <c r="H136" s="581"/>
      <c r="I136" s="581"/>
      <c r="J136" s="581"/>
      <c r="K136" s="582"/>
      <c r="M136" s="22"/>
      <c r="N136" s="22"/>
      <c r="O136" s="22"/>
      <c r="P136" s="22"/>
      <c r="Q136" s="22"/>
      <c r="R136" s="22"/>
      <c r="S136" s="22"/>
      <c r="T136" s="22"/>
    </row>
    <row r="137" spans="1:20" ht="17.25" customHeight="1">
      <c r="A137" s="483" t="s">
        <v>94</v>
      </c>
      <c r="B137" s="483"/>
      <c r="C137" s="483"/>
      <c r="D137" s="483"/>
      <c r="E137" s="483"/>
      <c r="F137" s="483"/>
      <c r="G137" s="483"/>
      <c r="H137" s="483"/>
      <c r="I137" s="483"/>
      <c r="J137" s="483"/>
      <c r="K137" s="11">
        <f>SUM(K35,K89,K102,K129,K135)</f>
        <v>3599.0835999999999</v>
      </c>
      <c r="M137" s="30"/>
    </row>
    <row r="138" spans="1:20" s="5" customFormat="1" ht="17.25" customHeight="1">
      <c r="A138" s="580"/>
      <c r="B138" s="581"/>
      <c r="C138" s="581"/>
      <c r="D138" s="581"/>
      <c r="E138" s="581"/>
      <c r="F138" s="581"/>
      <c r="G138" s="581"/>
      <c r="H138" s="581"/>
      <c r="I138" s="581"/>
      <c r="J138" s="581"/>
      <c r="K138" s="582"/>
      <c r="M138" s="22"/>
      <c r="N138" s="22"/>
      <c r="O138" s="22"/>
      <c r="P138" s="22"/>
      <c r="Q138" s="22"/>
      <c r="R138" s="22"/>
      <c r="S138" s="22"/>
      <c r="T138" s="22"/>
    </row>
    <row r="139" spans="1:20" ht="6.75" customHeight="1">
      <c r="A139" s="476"/>
      <c r="B139" s="476"/>
      <c r="C139" s="476"/>
      <c r="D139" s="476"/>
      <c r="E139" s="476"/>
      <c r="F139" s="476"/>
      <c r="G139" s="476"/>
      <c r="H139" s="476"/>
      <c r="I139" s="476"/>
      <c r="J139" s="476"/>
      <c r="K139" s="476"/>
    </row>
    <row r="140" spans="1:20" ht="17.25" customHeight="1">
      <c r="A140" s="483" t="s">
        <v>54</v>
      </c>
      <c r="B140" s="483"/>
      <c r="C140" s="483"/>
      <c r="D140" s="483"/>
      <c r="E140" s="483"/>
      <c r="F140" s="483"/>
      <c r="G140" s="483"/>
      <c r="H140" s="483"/>
      <c r="I140" s="483"/>
      <c r="J140" s="483"/>
      <c r="K140" s="483"/>
    </row>
    <row r="141" spans="1:20" ht="17.25" customHeight="1">
      <c r="A141" s="528"/>
      <c r="B141" s="528"/>
      <c r="C141" s="528"/>
      <c r="D141" s="528"/>
      <c r="E141" s="528"/>
      <c r="F141" s="528"/>
      <c r="G141" s="483" t="s">
        <v>25</v>
      </c>
      <c r="H141" s="483"/>
      <c r="I141" s="584" t="s">
        <v>55</v>
      </c>
      <c r="J141" s="584"/>
      <c r="K141" s="42" t="s">
        <v>20</v>
      </c>
    </row>
    <row r="142" spans="1:20" ht="17.25" customHeight="1">
      <c r="A142" s="32" t="s">
        <v>1</v>
      </c>
      <c r="B142" s="482" t="s">
        <v>56</v>
      </c>
      <c r="C142" s="482"/>
      <c r="D142" s="482"/>
      <c r="E142" s="482"/>
      <c r="F142" s="482"/>
      <c r="G142" s="585">
        <v>0.03</v>
      </c>
      <c r="H142" s="585"/>
      <c r="I142" s="542">
        <f>SUM(K35,K89,K102,K129,K135)</f>
        <v>3599.0835999999999</v>
      </c>
      <c r="J142" s="542"/>
      <c r="K142" s="36">
        <f>ROUND(I142*G142,2)</f>
        <v>107.97</v>
      </c>
      <c r="M142" s="489" t="s">
        <v>183</v>
      </c>
      <c r="N142" s="490"/>
      <c r="O142" s="490"/>
      <c r="P142" s="490"/>
      <c r="Q142" s="490"/>
      <c r="R142" s="490"/>
      <c r="S142" s="490"/>
      <c r="T142" s="491"/>
    </row>
    <row r="143" spans="1:20" ht="17.25" customHeight="1">
      <c r="A143" s="32" t="s">
        <v>3</v>
      </c>
      <c r="B143" s="482" t="s">
        <v>57</v>
      </c>
      <c r="C143" s="482"/>
      <c r="D143" s="482"/>
      <c r="E143" s="482"/>
      <c r="F143" s="482"/>
      <c r="G143" s="585">
        <v>6.7900000000000002E-2</v>
      </c>
      <c r="H143" s="585"/>
      <c r="I143" s="542">
        <f>I142+K142</f>
        <v>3707.0535999999997</v>
      </c>
      <c r="J143" s="542"/>
      <c r="K143" s="36">
        <f>ROUND(I143*G143,2)</f>
        <v>251.71</v>
      </c>
      <c r="M143" s="495"/>
      <c r="N143" s="496"/>
      <c r="O143" s="496"/>
      <c r="P143" s="496"/>
      <c r="Q143" s="496"/>
      <c r="R143" s="496"/>
      <c r="S143" s="496"/>
      <c r="T143" s="497"/>
    </row>
    <row r="144" spans="1:20" ht="17.25" customHeight="1">
      <c r="A144" s="484" t="s">
        <v>5</v>
      </c>
      <c r="B144" s="484" t="s">
        <v>58</v>
      </c>
      <c r="C144" s="484"/>
      <c r="D144" s="484" t="s">
        <v>59</v>
      </c>
      <c r="E144" s="484"/>
      <c r="F144" s="32" t="s">
        <v>60</v>
      </c>
      <c r="G144" s="585">
        <v>6.4999999999999997E-3</v>
      </c>
      <c r="H144" s="585"/>
      <c r="I144" s="542">
        <f>I143+K143</f>
        <v>3958.7635999999998</v>
      </c>
      <c r="J144" s="542"/>
      <c r="K144" s="36">
        <f>ROUND(($I$144/(1-$G$151)*G144),2)</f>
        <v>27.86</v>
      </c>
      <c r="M144" s="489" t="s">
        <v>116</v>
      </c>
      <c r="N144" s="490"/>
      <c r="O144" s="490"/>
      <c r="P144" s="490"/>
      <c r="Q144" s="490"/>
      <c r="R144" s="490"/>
      <c r="S144" s="490"/>
      <c r="T144" s="491"/>
    </row>
    <row r="145" spans="1:20" ht="17.25" customHeight="1">
      <c r="A145" s="484"/>
      <c r="B145" s="484"/>
      <c r="C145" s="484"/>
      <c r="D145" s="484"/>
      <c r="E145" s="484"/>
      <c r="F145" s="32" t="s">
        <v>61</v>
      </c>
      <c r="G145" s="585">
        <v>0.03</v>
      </c>
      <c r="H145" s="585"/>
      <c r="I145" s="542"/>
      <c r="J145" s="542"/>
      <c r="K145" s="36">
        <f>ROUND(($I$144/(1-$G$151)*G145),2)</f>
        <v>128.6</v>
      </c>
      <c r="M145" s="589" t="s">
        <v>117</v>
      </c>
      <c r="N145" s="590"/>
      <c r="O145" s="590"/>
      <c r="P145" s="590"/>
      <c r="Q145" s="590"/>
      <c r="R145" s="590"/>
      <c r="S145" s="590"/>
      <c r="T145" s="591"/>
    </row>
    <row r="146" spans="1:20" ht="17.25" customHeight="1">
      <c r="A146" s="484"/>
      <c r="B146" s="484"/>
      <c r="C146" s="484"/>
      <c r="D146" s="484"/>
      <c r="E146" s="484"/>
      <c r="F146" s="41" t="s">
        <v>62</v>
      </c>
      <c r="G146" s="585"/>
      <c r="H146" s="585"/>
      <c r="I146" s="542"/>
      <c r="J146" s="542"/>
      <c r="K146" s="36">
        <f>ROUND(($I$144/(1-$G$151)*G146),2)</f>
        <v>0</v>
      </c>
      <c r="M146" s="589" t="s">
        <v>184</v>
      </c>
      <c r="N146" s="590"/>
      <c r="O146" s="590"/>
      <c r="P146" s="590"/>
      <c r="Q146" s="590"/>
      <c r="R146" s="590"/>
      <c r="S146" s="590"/>
      <c r="T146" s="591"/>
    </row>
    <row r="147" spans="1:20" ht="17.25" customHeight="1">
      <c r="A147" s="484"/>
      <c r="B147" s="484"/>
      <c r="C147" s="484"/>
      <c r="D147" s="484" t="s">
        <v>63</v>
      </c>
      <c r="E147" s="484"/>
      <c r="F147" s="32" t="s">
        <v>64</v>
      </c>
      <c r="G147" s="569">
        <v>0.04</v>
      </c>
      <c r="H147" s="569"/>
      <c r="I147" s="542"/>
      <c r="J147" s="542"/>
      <c r="K147" s="542">
        <f>ROUND(($I$144/(1-$G$151)*G147),2)</f>
        <v>171.47</v>
      </c>
    </row>
    <row r="148" spans="1:20" ht="17.25" customHeight="1">
      <c r="A148" s="484"/>
      <c r="B148" s="484"/>
      <c r="C148" s="484"/>
      <c r="D148" s="484"/>
      <c r="E148" s="484"/>
      <c r="F148" s="16" t="str">
        <f>K11</f>
        <v>Araçatuba / SP</v>
      </c>
      <c r="G148" s="569"/>
      <c r="H148" s="569"/>
      <c r="I148" s="542"/>
      <c r="J148" s="542"/>
      <c r="K148" s="542"/>
    </row>
    <row r="149" spans="1:20" ht="17.25" customHeight="1">
      <c r="A149" s="484"/>
      <c r="B149" s="484"/>
      <c r="C149" s="484"/>
      <c r="D149" s="484"/>
      <c r="E149" s="484"/>
      <c r="F149" s="41" t="s">
        <v>62</v>
      </c>
      <c r="G149" s="585"/>
      <c r="H149" s="585"/>
      <c r="I149" s="542"/>
      <c r="J149" s="542"/>
      <c r="K149" s="36">
        <f>ROUND(($I$144/(1-$G$151)*G149),2)</f>
        <v>0</v>
      </c>
    </row>
    <row r="150" spans="1:20" ht="17.25" customHeight="1">
      <c r="A150" s="484"/>
      <c r="B150" s="484"/>
      <c r="C150" s="484"/>
      <c r="D150" s="544" t="s">
        <v>65</v>
      </c>
      <c r="E150" s="544"/>
      <c r="F150" s="41"/>
      <c r="G150" s="585"/>
      <c r="H150" s="585"/>
      <c r="I150" s="542"/>
      <c r="J150" s="542"/>
      <c r="K150" s="36">
        <f>ROUND(($I$144/(1-$G$151)*G150),2)</f>
        <v>0</v>
      </c>
    </row>
    <row r="151" spans="1:20" ht="17.25" customHeight="1">
      <c r="A151" s="484"/>
      <c r="B151" s="575" t="s">
        <v>66</v>
      </c>
      <c r="C151" s="575"/>
      <c r="D151" s="575"/>
      <c r="E151" s="575"/>
      <c r="F151" s="575"/>
      <c r="G151" s="586">
        <f>SUM(G144:H150)</f>
        <v>7.6499999999999999E-2</v>
      </c>
      <c r="H151" s="586"/>
      <c r="I151" s="587"/>
      <c r="J151" s="587"/>
      <c r="K151" s="17"/>
      <c r="M151" s="31"/>
    </row>
    <row r="152" spans="1:20" ht="17.25" customHeight="1">
      <c r="A152" s="483" t="s">
        <v>67</v>
      </c>
      <c r="B152" s="483"/>
      <c r="C152" s="483"/>
      <c r="D152" s="483"/>
      <c r="E152" s="483"/>
      <c r="F152" s="483"/>
      <c r="G152" s="483"/>
      <c r="H152" s="483"/>
      <c r="I152" s="588">
        <f>((1+G142)*(1+G143))/(1-G151)-1</f>
        <v>0.19105251759610198</v>
      </c>
      <c r="J152" s="588"/>
      <c r="K152" s="11">
        <f>ROUND(SUM(K142:K150),2)</f>
        <v>687.61</v>
      </c>
    </row>
    <row r="153" spans="1:20" ht="6" customHeight="1">
      <c r="A153" s="480"/>
      <c r="B153" s="480"/>
      <c r="C153" s="480"/>
      <c r="D153" s="480"/>
      <c r="E153" s="480"/>
      <c r="F153" s="480"/>
      <c r="G153" s="480"/>
      <c r="H153" s="480"/>
      <c r="I153" s="480"/>
      <c r="J153" s="480"/>
      <c r="K153" s="480"/>
    </row>
    <row r="154" spans="1:20" ht="19.5" customHeight="1">
      <c r="A154" s="592" t="s">
        <v>105</v>
      </c>
      <c r="B154" s="592"/>
      <c r="C154" s="592"/>
      <c r="D154" s="592"/>
      <c r="E154" s="592"/>
      <c r="F154" s="592"/>
      <c r="G154" s="592"/>
      <c r="H154" s="592"/>
      <c r="I154" s="592"/>
      <c r="J154" s="592"/>
      <c r="K154" s="39" t="s">
        <v>20</v>
      </c>
    </row>
    <row r="155" spans="1:20" ht="17.25" customHeight="1">
      <c r="A155" s="32" t="s">
        <v>1</v>
      </c>
      <c r="B155" s="482" t="s">
        <v>68</v>
      </c>
      <c r="C155" s="482"/>
      <c r="D155" s="482"/>
      <c r="E155" s="482"/>
      <c r="F155" s="482"/>
      <c r="G155" s="482"/>
      <c r="H155" s="482"/>
      <c r="I155" s="482"/>
      <c r="J155" s="482"/>
      <c r="K155" s="36">
        <f>K35</f>
        <v>1351.97</v>
      </c>
    </row>
    <row r="156" spans="1:20" ht="17.25" customHeight="1">
      <c r="A156" s="32" t="s">
        <v>3</v>
      </c>
      <c r="B156" s="482" t="s">
        <v>69</v>
      </c>
      <c r="C156" s="482"/>
      <c r="D156" s="482"/>
      <c r="E156" s="482"/>
      <c r="F156" s="482"/>
      <c r="G156" s="482"/>
      <c r="H156" s="482"/>
      <c r="I156" s="482"/>
      <c r="J156" s="482"/>
      <c r="K156" s="36">
        <f>K89</f>
        <v>1484.24</v>
      </c>
    </row>
    <row r="157" spans="1:20" ht="17.25" customHeight="1">
      <c r="A157" s="32" t="s">
        <v>5</v>
      </c>
      <c r="B157" s="482" t="s">
        <v>70</v>
      </c>
      <c r="C157" s="482"/>
      <c r="D157" s="482"/>
      <c r="E157" s="482"/>
      <c r="F157" s="482"/>
      <c r="G157" s="482"/>
      <c r="H157" s="482"/>
      <c r="I157" s="482"/>
      <c r="J157" s="482"/>
      <c r="K157" s="36">
        <f>K102</f>
        <v>107.66</v>
      </c>
    </row>
    <row r="158" spans="1:20" ht="17.25" customHeight="1">
      <c r="A158" s="32" t="s">
        <v>6</v>
      </c>
      <c r="B158" s="482" t="s">
        <v>71</v>
      </c>
      <c r="C158" s="482"/>
      <c r="D158" s="482"/>
      <c r="E158" s="482"/>
      <c r="F158" s="482"/>
      <c r="G158" s="482"/>
      <c r="H158" s="482"/>
      <c r="I158" s="482"/>
      <c r="J158" s="482"/>
      <c r="K158" s="36">
        <f>K129</f>
        <v>233.87</v>
      </c>
    </row>
    <row r="159" spans="1:20" ht="17.25" customHeight="1">
      <c r="A159" s="32" t="s">
        <v>8</v>
      </c>
      <c r="B159" s="482" t="s">
        <v>72</v>
      </c>
      <c r="C159" s="482"/>
      <c r="D159" s="482"/>
      <c r="E159" s="482"/>
      <c r="F159" s="482"/>
      <c r="G159" s="482"/>
      <c r="H159" s="482"/>
      <c r="I159" s="482"/>
      <c r="J159" s="482"/>
      <c r="K159" s="36">
        <f>K135</f>
        <v>421.34359999999998</v>
      </c>
    </row>
    <row r="160" spans="1:20" ht="17.25" customHeight="1">
      <c r="A160" s="32" t="s">
        <v>10</v>
      </c>
      <c r="B160" s="482" t="s">
        <v>73</v>
      </c>
      <c r="C160" s="482"/>
      <c r="D160" s="482"/>
      <c r="E160" s="482"/>
      <c r="F160" s="482"/>
      <c r="G160" s="482"/>
      <c r="H160" s="482"/>
      <c r="I160" s="482"/>
      <c r="J160" s="482"/>
      <c r="K160" s="36">
        <f>K152</f>
        <v>687.61</v>
      </c>
    </row>
    <row r="161" spans="1:11" ht="18" customHeight="1">
      <c r="A161" s="592" t="s">
        <v>74</v>
      </c>
      <c r="B161" s="592"/>
      <c r="C161" s="592"/>
      <c r="D161" s="592"/>
      <c r="E161" s="592"/>
      <c r="F161" s="592"/>
      <c r="G161" s="592"/>
      <c r="H161" s="592"/>
      <c r="I161" s="592"/>
      <c r="J161" s="592"/>
      <c r="K161" s="18">
        <f>ROUND(SUM(K155:K160),2)</f>
        <v>4286.6899999999996</v>
      </c>
    </row>
    <row r="162" spans="1:11" ht="6" customHeight="1">
      <c r="A162" s="480"/>
      <c r="B162" s="480"/>
      <c r="C162" s="480"/>
      <c r="D162" s="480"/>
      <c r="E162" s="480"/>
      <c r="F162" s="480"/>
      <c r="G162" s="480"/>
      <c r="H162" s="480"/>
      <c r="I162" s="480"/>
      <c r="J162" s="480"/>
      <c r="K162" s="480"/>
    </row>
    <row r="164" spans="1:11">
      <c r="I164" s="6"/>
    </row>
  </sheetData>
  <sheetProtection selectLockedCells="1" selectUnlockedCells="1"/>
  <mergeCells count="290">
    <mergeCell ref="B159:J159"/>
    <mergeCell ref="B160:J160"/>
    <mergeCell ref="A161:J161"/>
    <mergeCell ref="A162:K162"/>
    <mergeCell ref="A153:K153"/>
    <mergeCell ref="A154:J154"/>
    <mergeCell ref="B155:J155"/>
    <mergeCell ref="B156:J156"/>
    <mergeCell ref="B157:J157"/>
    <mergeCell ref="B158:J158"/>
    <mergeCell ref="A152:H152"/>
    <mergeCell ref="I152:J152"/>
    <mergeCell ref="G145:H145"/>
    <mergeCell ref="M145:T145"/>
    <mergeCell ref="G146:H146"/>
    <mergeCell ref="M146:T146"/>
    <mergeCell ref="D147:E149"/>
    <mergeCell ref="G147:H148"/>
    <mergeCell ref="K147:K148"/>
    <mergeCell ref="G149:H149"/>
    <mergeCell ref="M142:T143"/>
    <mergeCell ref="B143:F143"/>
    <mergeCell ref="G143:H143"/>
    <mergeCell ref="I143:J143"/>
    <mergeCell ref="A144:A151"/>
    <mergeCell ref="B144:C150"/>
    <mergeCell ref="D144:E146"/>
    <mergeCell ref="G144:H144"/>
    <mergeCell ref="I144:J150"/>
    <mergeCell ref="M144:T144"/>
    <mergeCell ref="D150:E150"/>
    <mergeCell ref="G150:H150"/>
    <mergeCell ref="B151:F151"/>
    <mergeCell ref="G151:H151"/>
    <mergeCell ref="I151:J151"/>
    <mergeCell ref="A139:K139"/>
    <mergeCell ref="A140:K140"/>
    <mergeCell ref="A141:F141"/>
    <mergeCell ref="G141:H141"/>
    <mergeCell ref="I141:J141"/>
    <mergeCell ref="B142:F142"/>
    <mergeCell ref="G142:H142"/>
    <mergeCell ref="I142:J142"/>
    <mergeCell ref="B134:J134"/>
    <mergeCell ref="F133:I133"/>
    <mergeCell ref="A135:J135"/>
    <mergeCell ref="A136:K136"/>
    <mergeCell ref="A137:J137"/>
    <mergeCell ref="A138:K138"/>
    <mergeCell ref="A127:J127"/>
    <mergeCell ref="A128:K128"/>
    <mergeCell ref="A129:J129"/>
    <mergeCell ref="A130:K130"/>
    <mergeCell ref="A131:K131"/>
    <mergeCell ref="B132:J132"/>
    <mergeCell ref="A122:G122"/>
    <mergeCell ref="H122:J122"/>
    <mergeCell ref="A123:K123"/>
    <mergeCell ref="A124:K124"/>
    <mergeCell ref="A125:J125"/>
    <mergeCell ref="B126:J126"/>
    <mergeCell ref="H118:J118"/>
    <mergeCell ref="B119:J119"/>
    <mergeCell ref="M119:T120"/>
    <mergeCell ref="B120:G120"/>
    <mergeCell ref="H120:J120"/>
    <mergeCell ref="B121:G121"/>
    <mergeCell ref="H121:J121"/>
    <mergeCell ref="A115:A116"/>
    <mergeCell ref="B115:J115"/>
    <mergeCell ref="K115:K116"/>
    <mergeCell ref="M115:T118"/>
    <mergeCell ref="B116:G116"/>
    <mergeCell ref="H116:J116"/>
    <mergeCell ref="A117:A118"/>
    <mergeCell ref="B117:J117"/>
    <mergeCell ref="K117:K118"/>
    <mergeCell ref="B118:G118"/>
    <mergeCell ref="A113:A114"/>
    <mergeCell ref="B113:J113"/>
    <mergeCell ref="K113:K114"/>
    <mergeCell ref="M113:T114"/>
    <mergeCell ref="B114:G114"/>
    <mergeCell ref="H114:J114"/>
    <mergeCell ref="A111:A112"/>
    <mergeCell ref="B111:J111"/>
    <mergeCell ref="K111:K112"/>
    <mergeCell ref="M111:T112"/>
    <mergeCell ref="F112:G112"/>
    <mergeCell ref="H112:J112"/>
    <mergeCell ref="A107:J107"/>
    <mergeCell ref="A108:J108"/>
    <mergeCell ref="A109:G109"/>
    <mergeCell ref="H109:J109"/>
    <mergeCell ref="B110:G110"/>
    <mergeCell ref="H110:J110"/>
    <mergeCell ref="B101:G101"/>
    <mergeCell ref="H101:J101"/>
    <mergeCell ref="M101:T102"/>
    <mergeCell ref="A102:G102"/>
    <mergeCell ref="H102:J102"/>
    <mergeCell ref="A103:K103"/>
    <mergeCell ref="M103:T107"/>
    <mergeCell ref="A104:K104"/>
    <mergeCell ref="A105:K105"/>
    <mergeCell ref="A106:J106"/>
    <mergeCell ref="B98:G98"/>
    <mergeCell ref="H98:J98"/>
    <mergeCell ref="B99:G99"/>
    <mergeCell ref="H99:J99"/>
    <mergeCell ref="B100:G100"/>
    <mergeCell ref="H100:J100"/>
    <mergeCell ref="A93:J93"/>
    <mergeCell ref="M93:T94"/>
    <mergeCell ref="A94:J94"/>
    <mergeCell ref="A95:G95"/>
    <mergeCell ref="H95:J95"/>
    <mergeCell ref="M95:T100"/>
    <mergeCell ref="B96:G96"/>
    <mergeCell ref="H96:J96"/>
    <mergeCell ref="B97:G97"/>
    <mergeCell ref="H97:J97"/>
    <mergeCell ref="B87:J87"/>
    <mergeCell ref="A88:J88"/>
    <mergeCell ref="A89:J89"/>
    <mergeCell ref="A90:K90"/>
    <mergeCell ref="A91:K91"/>
    <mergeCell ref="M91:T92"/>
    <mergeCell ref="A92:J92"/>
    <mergeCell ref="A84:A86"/>
    <mergeCell ref="B84:F84"/>
    <mergeCell ref="G84:J84"/>
    <mergeCell ref="K84:K86"/>
    <mergeCell ref="B85:F85"/>
    <mergeCell ref="G85:J85"/>
    <mergeCell ref="B86:F86"/>
    <mergeCell ref="G86:J86"/>
    <mergeCell ref="A81:A83"/>
    <mergeCell ref="B81:F81"/>
    <mergeCell ref="G81:J81"/>
    <mergeCell ref="K81:K83"/>
    <mergeCell ref="B82:F82"/>
    <mergeCell ref="G82:J82"/>
    <mergeCell ref="B83:F83"/>
    <mergeCell ref="G83:J83"/>
    <mergeCell ref="A78:A80"/>
    <mergeCell ref="B78:F78"/>
    <mergeCell ref="G78:J78"/>
    <mergeCell ref="K78:K80"/>
    <mergeCell ref="B79:E79"/>
    <mergeCell ref="G79:J79"/>
    <mergeCell ref="B80:E80"/>
    <mergeCell ref="G80:J80"/>
    <mergeCell ref="A75:A77"/>
    <mergeCell ref="B75:F75"/>
    <mergeCell ref="G75:J75"/>
    <mergeCell ref="K75:K77"/>
    <mergeCell ref="M75:T77"/>
    <mergeCell ref="B76:E76"/>
    <mergeCell ref="G76:J76"/>
    <mergeCell ref="B77:E77"/>
    <mergeCell ref="G77:J77"/>
    <mergeCell ref="A72:A74"/>
    <mergeCell ref="B72:F72"/>
    <mergeCell ref="G72:J72"/>
    <mergeCell ref="K72:K74"/>
    <mergeCell ref="B73:F73"/>
    <mergeCell ref="G73:J73"/>
    <mergeCell ref="B74:F74"/>
    <mergeCell ref="G74:J74"/>
    <mergeCell ref="A69:A71"/>
    <mergeCell ref="B69:F69"/>
    <mergeCell ref="G69:J69"/>
    <mergeCell ref="B70:F70"/>
    <mergeCell ref="G70:J70"/>
    <mergeCell ref="K70:K71"/>
    <mergeCell ref="B71:F71"/>
    <mergeCell ref="G71:J71"/>
    <mergeCell ref="A66:A68"/>
    <mergeCell ref="B66:F66"/>
    <mergeCell ref="G66:J66"/>
    <mergeCell ref="K66:K68"/>
    <mergeCell ref="M66:T68"/>
    <mergeCell ref="B67:E67"/>
    <mergeCell ref="G67:J67"/>
    <mergeCell ref="B68:E68"/>
    <mergeCell ref="G68:J68"/>
    <mergeCell ref="A63:A65"/>
    <mergeCell ref="B63:F63"/>
    <mergeCell ref="G63:J63"/>
    <mergeCell ref="K63:K65"/>
    <mergeCell ref="B64:D64"/>
    <mergeCell ref="G64:J64"/>
    <mergeCell ref="B65:D65"/>
    <mergeCell ref="G65:J65"/>
    <mergeCell ref="A59:H59"/>
    <mergeCell ref="I59:J59"/>
    <mergeCell ref="A60:K60"/>
    <mergeCell ref="A61:K61"/>
    <mergeCell ref="M61:T62"/>
    <mergeCell ref="A62:J62"/>
    <mergeCell ref="B56:H56"/>
    <mergeCell ref="I56:J56"/>
    <mergeCell ref="B57:H57"/>
    <mergeCell ref="I57:J57"/>
    <mergeCell ref="B58:H58"/>
    <mergeCell ref="I58:J58"/>
    <mergeCell ref="K52:K53"/>
    <mergeCell ref="M52:T53"/>
    <mergeCell ref="B54:H54"/>
    <mergeCell ref="I54:J54"/>
    <mergeCell ref="B55:H55"/>
    <mergeCell ref="I55:J55"/>
    <mergeCell ref="B50:H50"/>
    <mergeCell ref="I50:J50"/>
    <mergeCell ref="B51:H51"/>
    <mergeCell ref="I51:J51"/>
    <mergeCell ref="A52:A53"/>
    <mergeCell ref="B52:F53"/>
    <mergeCell ref="I52:J53"/>
    <mergeCell ref="A44:K44"/>
    <mergeCell ref="A45:K45"/>
    <mergeCell ref="A46:J46"/>
    <mergeCell ref="A47:J47"/>
    <mergeCell ref="A48:J48"/>
    <mergeCell ref="A49:H49"/>
    <mergeCell ref="I49:J49"/>
    <mergeCell ref="M40:T42"/>
    <mergeCell ref="B41:H41"/>
    <mergeCell ref="I41:J41"/>
    <mergeCell ref="B42:H42"/>
    <mergeCell ref="I42:J42"/>
    <mergeCell ref="A43:H43"/>
    <mergeCell ref="I43:J43"/>
    <mergeCell ref="A37:K37"/>
    <mergeCell ref="A38:K38"/>
    <mergeCell ref="A39:H39"/>
    <mergeCell ref="I39:J39"/>
    <mergeCell ref="B40:H40"/>
    <mergeCell ref="I40:J40"/>
    <mergeCell ref="K31:K33"/>
    <mergeCell ref="M31:T33"/>
    <mergeCell ref="I33:J33"/>
    <mergeCell ref="B34:J34"/>
    <mergeCell ref="A35:J35"/>
    <mergeCell ref="A36:K36"/>
    <mergeCell ref="B30:G30"/>
    <mergeCell ref="I30:J30"/>
    <mergeCell ref="A31:A33"/>
    <mergeCell ref="B31:F33"/>
    <mergeCell ref="G31:G32"/>
    <mergeCell ref="H31:H32"/>
    <mergeCell ref="I31:J32"/>
    <mergeCell ref="B27:G27"/>
    <mergeCell ref="I27:J27"/>
    <mergeCell ref="B28:G28"/>
    <mergeCell ref="I28:J28"/>
    <mergeCell ref="B29:G29"/>
    <mergeCell ref="I29:J29"/>
    <mergeCell ref="B21:J21"/>
    <mergeCell ref="B22:J22"/>
    <mergeCell ref="A23:K23"/>
    <mergeCell ref="A24:K24"/>
    <mergeCell ref="A25:J25"/>
    <mergeCell ref="B26:G26"/>
    <mergeCell ref="I26:J26"/>
    <mergeCell ref="B15:J15"/>
    <mergeCell ref="B16:J16"/>
    <mergeCell ref="B17:J17"/>
    <mergeCell ref="B18:J18"/>
    <mergeCell ref="B19:J19"/>
    <mergeCell ref="B20:J20"/>
    <mergeCell ref="A9:K9"/>
    <mergeCell ref="B10:J10"/>
    <mergeCell ref="B11:J11"/>
    <mergeCell ref="B12:J12"/>
    <mergeCell ref="B13:J13"/>
    <mergeCell ref="B14:J14"/>
    <mergeCell ref="A5:C5"/>
    <mergeCell ref="D5:K5"/>
    <mergeCell ref="A6:C6"/>
    <mergeCell ref="D6:K6"/>
    <mergeCell ref="A7:K7"/>
    <mergeCell ref="A8:K8"/>
    <mergeCell ref="A1:K1"/>
    <mergeCell ref="A2:K2"/>
    <mergeCell ref="A3:C3"/>
    <mergeCell ref="D3:K3"/>
    <mergeCell ref="A4:C4"/>
    <mergeCell ref="D4:K4"/>
  </mergeCells>
  <printOptions horizontalCentered="1" verticalCentered="1"/>
  <pageMargins left="0.70866141732283472" right="0.70866141732283472" top="0.74803149606299213" bottom="0.74803149606299213" header="0.31496062992125984" footer="0.31496062992125984"/>
  <pageSetup paperSize="9" scale="38" firstPageNumber="0" fitToHeight="2" orientation="portrait" r:id="rId1"/>
  <headerFooter alignWithMargins="0"/>
  <rowBreaks count="1" manualBreakCount="1">
    <brk id="95" max="16383" man="1"/>
  </row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T164"/>
  <sheetViews>
    <sheetView showGridLines="0" showZeros="0" topLeftCell="A7" zoomScaleNormal="100" zoomScaleSheetLayoutView="100" zoomScalePageLayoutView="60" workbookViewId="0">
      <selection activeCell="K17" sqref="K17"/>
    </sheetView>
  </sheetViews>
  <sheetFormatPr defaultColWidth="8.7109375" defaultRowHeight="15"/>
  <cols>
    <col min="1" max="1" width="7.140625" style="1" customWidth="1"/>
    <col min="2" max="2" width="6.7109375" style="1" customWidth="1"/>
    <col min="3" max="3" width="6.28515625" style="1" customWidth="1"/>
    <col min="4" max="4" width="8.7109375" style="1"/>
    <col min="5" max="5" width="11.28515625" style="1" customWidth="1"/>
    <col min="6" max="6" width="19.140625" style="1" customWidth="1"/>
    <col min="7" max="8" width="10.7109375" style="1" customWidth="1"/>
    <col min="9" max="9" width="8.7109375" style="1"/>
    <col min="10" max="10" width="7" style="1" customWidth="1"/>
    <col min="11" max="11" width="37.140625" style="3" customWidth="1"/>
    <col min="12" max="12" width="3.42578125" style="1" customWidth="1"/>
    <col min="13" max="13" width="11.140625" style="22" bestFit="1" customWidth="1"/>
    <col min="14" max="19" width="8.7109375" style="22"/>
    <col min="20" max="20" width="19.5703125" style="22" customWidth="1"/>
    <col min="21" max="16384" width="8.7109375" style="1"/>
  </cols>
  <sheetData>
    <row r="1" spans="1:12" ht="21.75" customHeight="1">
      <c r="A1" s="477" t="s">
        <v>156</v>
      </c>
      <c r="B1" s="478"/>
      <c r="C1" s="478"/>
      <c r="D1" s="478"/>
      <c r="E1" s="478"/>
      <c r="F1" s="478"/>
      <c r="G1" s="478"/>
      <c r="H1" s="478"/>
      <c r="I1" s="478"/>
      <c r="J1" s="478"/>
      <c r="K1" s="479"/>
    </row>
    <row r="2" spans="1:12" ht="6.75" customHeight="1">
      <c r="A2" s="480"/>
      <c r="B2" s="480"/>
      <c r="C2" s="480"/>
      <c r="D2" s="480"/>
      <c r="E2" s="480"/>
      <c r="F2" s="480"/>
      <c r="G2" s="480"/>
      <c r="H2" s="480"/>
      <c r="I2" s="480"/>
      <c r="J2" s="480"/>
      <c r="K2" s="480"/>
    </row>
    <row r="3" spans="1:12" ht="17.25" customHeight="1">
      <c r="A3" s="471" t="s">
        <v>75</v>
      </c>
      <c r="B3" s="471"/>
      <c r="C3" s="471"/>
      <c r="D3" s="472" t="s">
        <v>157</v>
      </c>
      <c r="E3" s="473"/>
      <c r="F3" s="473"/>
      <c r="G3" s="473"/>
      <c r="H3" s="473"/>
      <c r="I3" s="473"/>
      <c r="J3" s="473"/>
      <c r="K3" s="474"/>
    </row>
    <row r="4" spans="1:12" ht="17.25" customHeight="1">
      <c r="A4" s="471" t="s">
        <v>95</v>
      </c>
      <c r="B4" s="471"/>
      <c r="C4" s="471"/>
      <c r="D4" s="472" t="s">
        <v>158</v>
      </c>
      <c r="E4" s="473"/>
      <c r="F4" s="473"/>
      <c r="G4" s="473"/>
      <c r="H4" s="473"/>
      <c r="I4" s="473"/>
      <c r="J4" s="473"/>
      <c r="K4" s="474"/>
    </row>
    <row r="5" spans="1:12" ht="17.25" customHeight="1">
      <c r="A5" s="471" t="s">
        <v>96</v>
      </c>
      <c r="B5" s="471"/>
      <c r="C5" s="471"/>
      <c r="D5" s="472" t="s">
        <v>97</v>
      </c>
      <c r="E5" s="473"/>
      <c r="F5" s="473"/>
      <c r="G5" s="473"/>
      <c r="H5" s="473"/>
      <c r="I5" s="473"/>
      <c r="J5" s="473"/>
      <c r="K5" s="474"/>
    </row>
    <row r="6" spans="1:12" ht="17.25" customHeight="1">
      <c r="A6" s="471" t="s">
        <v>159</v>
      </c>
      <c r="B6" s="471"/>
      <c r="C6" s="471"/>
      <c r="D6" s="472" t="s">
        <v>213</v>
      </c>
      <c r="E6" s="473"/>
      <c r="F6" s="473"/>
      <c r="G6" s="473"/>
      <c r="H6" s="473"/>
      <c r="I6" s="473"/>
      <c r="J6" s="473"/>
      <c r="K6" s="474"/>
    </row>
    <row r="7" spans="1:12" ht="6.75" customHeight="1">
      <c r="A7" s="475"/>
      <c r="B7" s="475"/>
      <c r="C7" s="475"/>
      <c r="D7" s="475"/>
      <c r="E7" s="475"/>
      <c r="F7" s="475"/>
      <c r="G7" s="475"/>
      <c r="H7" s="475"/>
      <c r="I7" s="475"/>
      <c r="J7" s="475"/>
      <c r="K7" s="475"/>
    </row>
    <row r="8" spans="1:12" ht="6.75" customHeight="1">
      <c r="A8" s="476"/>
      <c r="B8" s="476"/>
      <c r="C8" s="476"/>
      <c r="D8" s="476"/>
      <c r="E8" s="476"/>
      <c r="F8" s="476"/>
      <c r="G8" s="476"/>
      <c r="H8" s="476"/>
      <c r="I8" s="476"/>
      <c r="J8" s="476"/>
      <c r="K8" s="476"/>
    </row>
    <row r="9" spans="1:12" ht="17.25" customHeight="1">
      <c r="A9" s="483" t="s">
        <v>0</v>
      </c>
      <c r="B9" s="483"/>
      <c r="C9" s="483"/>
      <c r="D9" s="483"/>
      <c r="E9" s="483"/>
      <c r="F9" s="483"/>
      <c r="G9" s="483"/>
      <c r="H9" s="483"/>
      <c r="I9" s="483"/>
      <c r="J9" s="483"/>
      <c r="K9" s="483"/>
    </row>
    <row r="10" spans="1:12" ht="17.25" customHeight="1">
      <c r="A10" s="78" t="s">
        <v>1</v>
      </c>
      <c r="B10" s="482" t="s">
        <v>2</v>
      </c>
      <c r="C10" s="482"/>
      <c r="D10" s="482"/>
      <c r="E10" s="482"/>
      <c r="F10" s="482"/>
      <c r="G10" s="482"/>
      <c r="H10" s="482"/>
      <c r="I10" s="482"/>
      <c r="J10" s="482"/>
      <c r="K10" s="7"/>
    </row>
    <row r="11" spans="1:12" ht="16.5" customHeight="1">
      <c r="A11" s="78" t="s">
        <v>3</v>
      </c>
      <c r="B11" s="482" t="s">
        <v>4</v>
      </c>
      <c r="C11" s="482"/>
      <c r="D11" s="482"/>
      <c r="E11" s="482"/>
      <c r="F11" s="482"/>
      <c r="G11" s="482"/>
      <c r="H11" s="482"/>
      <c r="I11" s="482"/>
      <c r="J11" s="482"/>
      <c r="K11" s="89" t="s">
        <v>214</v>
      </c>
    </row>
    <row r="12" spans="1:12">
      <c r="A12" s="78" t="s">
        <v>5</v>
      </c>
      <c r="B12" s="482" t="s">
        <v>120</v>
      </c>
      <c r="C12" s="482"/>
      <c r="D12" s="482"/>
      <c r="E12" s="482"/>
      <c r="F12" s="482"/>
      <c r="G12" s="482"/>
      <c r="H12" s="482"/>
      <c r="I12" s="482"/>
      <c r="J12" s="482"/>
      <c r="K12" s="45" t="s">
        <v>220</v>
      </c>
    </row>
    <row r="13" spans="1:12" ht="16.5" customHeight="1">
      <c r="A13" s="78" t="s">
        <v>6</v>
      </c>
      <c r="B13" s="481" t="s">
        <v>77</v>
      </c>
      <c r="C13" s="481"/>
      <c r="D13" s="481"/>
      <c r="E13" s="481"/>
      <c r="F13" s="481"/>
      <c r="G13" s="481"/>
      <c r="H13" s="481"/>
      <c r="I13" s="481"/>
      <c r="J13" s="481"/>
      <c r="K13" s="89" t="s">
        <v>160</v>
      </c>
    </row>
    <row r="14" spans="1:12" ht="16.5" customHeight="1">
      <c r="A14" s="78" t="s">
        <v>8</v>
      </c>
      <c r="B14" s="481" t="s">
        <v>127</v>
      </c>
      <c r="C14" s="481"/>
      <c r="D14" s="481"/>
      <c r="E14" s="481"/>
      <c r="F14" s="481"/>
      <c r="G14" s="481"/>
      <c r="H14" s="481"/>
      <c r="I14" s="481"/>
      <c r="J14" s="481"/>
      <c r="K14" s="40" t="s">
        <v>223</v>
      </c>
    </row>
    <row r="15" spans="1:12" ht="16.5" customHeight="1">
      <c r="A15" s="78" t="s">
        <v>10</v>
      </c>
      <c r="B15" s="481" t="s">
        <v>7</v>
      </c>
      <c r="C15" s="481"/>
      <c r="D15" s="481"/>
      <c r="E15" s="481"/>
      <c r="F15" s="481"/>
      <c r="G15" s="481"/>
      <c r="H15" s="481"/>
      <c r="I15" s="481"/>
      <c r="J15" s="481"/>
      <c r="K15" s="89" t="s">
        <v>221</v>
      </c>
    </row>
    <row r="16" spans="1:12" ht="16.5" customHeight="1">
      <c r="A16" s="78" t="s">
        <v>11</v>
      </c>
      <c r="B16" s="481" t="s">
        <v>9</v>
      </c>
      <c r="C16" s="481"/>
      <c r="D16" s="481"/>
      <c r="E16" s="481"/>
      <c r="F16" s="481"/>
      <c r="G16" s="481"/>
      <c r="H16" s="481"/>
      <c r="I16" s="481"/>
      <c r="J16" s="481"/>
      <c r="K16" s="89" t="s">
        <v>222</v>
      </c>
      <c r="L16" s="4"/>
    </row>
    <row r="17" spans="1:20" ht="16.5" customHeight="1">
      <c r="A17" s="78" t="s">
        <v>12</v>
      </c>
      <c r="B17" s="481" t="s">
        <v>143</v>
      </c>
      <c r="C17" s="481"/>
      <c r="D17" s="481"/>
      <c r="E17" s="481"/>
      <c r="F17" s="481"/>
      <c r="G17" s="481"/>
      <c r="H17" s="481"/>
      <c r="I17" s="481"/>
      <c r="J17" s="481"/>
      <c r="K17" s="89">
        <v>1039</v>
      </c>
      <c r="L17" s="4"/>
    </row>
    <row r="18" spans="1:20" ht="16.5" customHeight="1">
      <c r="A18" s="78" t="s">
        <v>14</v>
      </c>
      <c r="B18" s="481" t="s">
        <v>162</v>
      </c>
      <c r="C18" s="481"/>
      <c r="D18" s="481"/>
      <c r="E18" s="481"/>
      <c r="F18" s="481"/>
      <c r="G18" s="481"/>
      <c r="H18" s="481"/>
      <c r="I18" s="481"/>
      <c r="J18" s="481"/>
      <c r="K18" s="89">
        <v>1358.86</v>
      </c>
    </row>
    <row r="19" spans="1:20">
      <c r="A19" s="78" t="s">
        <v>16</v>
      </c>
      <c r="B19" s="482" t="s">
        <v>84</v>
      </c>
      <c r="C19" s="482"/>
      <c r="D19" s="482"/>
      <c r="E19" s="482"/>
      <c r="F19" s="482"/>
      <c r="G19" s="482"/>
      <c r="H19" s="482"/>
      <c r="I19" s="482"/>
      <c r="J19" s="482"/>
      <c r="K19" s="8" t="s">
        <v>215</v>
      </c>
    </row>
    <row r="20" spans="1:20" ht="16.5" customHeight="1">
      <c r="A20" s="78" t="s">
        <v>76</v>
      </c>
      <c r="B20" s="482" t="s">
        <v>13</v>
      </c>
      <c r="C20" s="482"/>
      <c r="D20" s="482"/>
      <c r="E20" s="482"/>
      <c r="F20" s="482"/>
      <c r="G20" s="482"/>
      <c r="H20" s="482"/>
      <c r="I20" s="482"/>
      <c r="J20" s="482"/>
      <c r="K20" s="19">
        <v>43466</v>
      </c>
    </row>
    <row r="21" spans="1:20" ht="17.25" customHeight="1">
      <c r="A21" s="78" t="s">
        <v>78</v>
      </c>
      <c r="B21" s="482" t="s">
        <v>15</v>
      </c>
      <c r="C21" s="482"/>
      <c r="D21" s="482"/>
      <c r="E21" s="482"/>
      <c r="F21" s="482"/>
      <c r="G21" s="482"/>
      <c r="H21" s="482"/>
      <c r="I21" s="482"/>
      <c r="J21" s="482"/>
      <c r="K21" s="9" t="s">
        <v>163</v>
      </c>
    </row>
    <row r="22" spans="1:20" ht="17.25" customHeight="1">
      <c r="A22" s="78" t="s">
        <v>142</v>
      </c>
      <c r="B22" s="482" t="s">
        <v>17</v>
      </c>
      <c r="C22" s="482"/>
      <c r="D22" s="482"/>
      <c r="E22" s="482"/>
      <c r="F22" s="482"/>
      <c r="G22" s="482"/>
      <c r="H22" s="482"/>
      <c r="I22" s="482"/>
      <c r="J22" s="482"/>
      <c r="K22" s="10">
        <v>12</v>
      </c>
    </row>
    <row r="23" spans="1:20" ht="6.75" customHeight="1">
      <c r="A23" s="476"/>
      <c r="B23" s="476"/>
      <c r="C23" s="476"/>
      <c r="D23" s="476"/>
      <c r="E23" s="476"/>
      <c r="F23" s="476"/>
      <c r="G23" s="476"/>
      <c r="H23" s="476"/>
      <c r="I23" s="476"/>
      <c r="J23" s="476"/>
      <c r="K23" s="476"/>
    </row>
    <row r="24" spans="1:20" ht="17.25" customHeight="1">
      <c r="A24" s="483" t="s">
        <v>18</v>
      </c>
      <c r="B24" s="483"/>
      <c r="C24" s="483"/>
      <c r="D24" s="483"/>
      <c r="E24" s="483"/>
      <c r="F24" s="483"/>
      <c r="G24" s="483"/>
      <c r="H24" s="483"/>
      <c r="I24" s="483"/>
      <c r="J24" s="483"/>
      <c r="K24" s="483"/>
    </row>
    <row r="25" spans="1:20" ht="17.25" customHeight="1">
      <c r="A25" s="483"/>
      <c r="B25" s="483"/>
      <c r="C25" s="483"/>
      <c r="D25" s="483"/>
      <c r="E25" s="483"/>
      <c r="F25" s="483"/>
      <c r="G25" s="483"/>
      <c r="H25" s="483"/>
      <c r="I25" s="483"/>
      <c r="J25" s="483"/>
      <c r="K25" s="81" t="s">
        <v>20</v>
      </c>
    </row>
    <row r="26" spans="1:20" ht="17.25" customHeight="1">
      <c r="A26" s="78" t="s">
        <v>1</v>
      </c>
      <c r="B26" s="481" t="s">
        <v>21</v>
      </c>
      <c r="C26" s="481"/>
      <c r="D26" s="481"/>
      <c r="E26" s="481"/>
      <c r="F26" s="481"/>
      <c r="G26" s="481"/>
      <c r="H26" s="87">
        <v>220</v>
      </c>
      <c r="I26" s="484" t="s">
        <v>126</v>
      </c>
      <c r="J26" s="484"/>
      <c r="K26" s="83">
        <f>K18/220*H26</f>
        <v>1358.86</v>
      </c>
    </row>
    <row r="27" spans="1:20" ht="17.25" customHeight="1">
      <c r="A27" s="78" t="s">
        <v>3</v>
      </c>
      <c r="B27" s="481" t="s">
        <v>98</v>
      </c>
      <c r="C27" s="481"/>
      <c r="D27" s="481"/>
      <c r="E27" s="481"/>
      <c r="F27" s="481"/>
      <c r="G27" s="481"/>
      <c r="H27" s="85">
        <v>0</v>
      </c>
      <c r="I27" s="484" t="s">
        <v>100</v>
      </c>
      <c r="J27" s="484"/>
      <c r="K27" s="89">
        <f>H27*K17</f>
        <v>0</v>
      </c>
      <c r="M27" s="23" t="s">
        <v>153</v>
      </c>
      <c r="N27" s="24"/>
      <c r="O27" s="24"/>
      <c r="P27" s="24"/>
      <c r="Q27" s="24"/>
      <c r="R27" s="24"/>
      <c r="S27" s="24"/>
      <c r="T27" s="25"/>
    </row>
    <row r="28" spans="1:20" ht="17.25" customHeight="1">
      <c r="A28" s="78" t="s">
        <v>5</v>
      </c>
      <c r="B28" s="481" t="s">
        <v>99</v>
      </c>
      <c r="C28" s="481"/>
      <c r="D28" s="481"/>
      <c r="E28" s="481"/>
      <c r="F28" s="481"/>
      <c r="G28" s="481"/>
      <c r="H28" s="85"/>
      <c r="I28" s="484" t="s">
        <v>100</v>
      </c>
      <c r="J28" s="484"/>
      <c r="K28" s="89">
        <f>H28*K17</f>
        <v>0</v>
      </c>
      <c r="M28" s="23" t="s">
        <v>153</v>
      </c>
      <c r="N28" s="24"/>
      <c r="O28" s="24"/>
      <c r="P28" s="24"/>
      <c r="Q28" s="24"/>
      <c r="R28" s="24"/>
      <c r="S28" s="24"/>
      <c r="T28" s="25"/>
    </row>
    <row r="29" spans="1:20" ht="17.25" customHeight="1">
      <c r="A29" s="78" t="s">
        <v>6</v>
      </c>
      <c r="B29" s="485" t="s">
        <v>101</v>
      </c>
      <c r="C29" s="486"/>
      <c r="D29" s="486"/>
      <c r="E29" s="486"/>
      <c r="F29" s="486"/>
      <c r="G29" s="487"/>
      <c r="H29" s="85"/>
      <c r="I29" s="484" t="s">
        <v>100</v>
      </c>
      <c r="J29" s="484"/>
      <c r="K29" s="89">
        <f>H29*K26</f>
        <v>0</v>
      </c>
    </row>
    <row r="30" spans="1:20" ht="17.25" customHeight="1">
      <c r="A30" s="78" t="s">
        <v>102</v>
      </c>
      <c r="B30" s="485" t="s">
        <v>103</v>
      </c>
      <c r="C30" s="486"/>
      <c r="D30" s="486"/>
      <c r="E30" s="486"/>
      <c r="F30" s="486"/>
      <c r="G30" s="487"/>
      <c r="H30" s="85"/>
      <c r="I30" s="484" t="s">
        <v>100</v>
      </c>
      <c r="J30" s="484"/>
      <c r="K30" s="89">
        <f>H30*K26</f>
        <v>0</v>
      </c>
    </row>
    <row r="31" spans="1:20" ht="17.25" customHeight="1">
      <c r="A31" s="484" t="s">
        <v>10</v>
      </c>
      <c r="B31" s="481" t="s">
        <v>140</v>
      </c>
      <c r="C31" s="481"/>
      <c r="D31" s="481"/>
      <c r="E31" s="481"/>
      <c r="F31" s="481"/>
      <c r="G31" s="500" t="s">
        <v>125</v>
      </c>
      <c r="H31" s="501" t="s">
        <v>123</v>
      </c>
      <c r="I31" s="500" t="s">
        <v>124</v>
      </c>
      <c r="J31" s="500"/>
      <c r="K31" s="488">
        <f>ROUND(I33*H33,2)</f>
        <v>0</v>
      </c>
      <c r="M31" s="489" t="s">
        <v>154</v>
      </c>
      <c r="N31" s="490"/>
      <c r="O31" s="490"/>
      <c r="P31" s="490"/>
      <c r="Q31" s="490"/>
      <c r="R31" s="490"/>
      <c r="S31" s="490"/>
      <c r="T31" s="491"/>
    </row>
    <row r="32" spans="1:20" ht="22.5" customHeight="1">
      <c r="A32" s="484"/>
      <c r="B32" s="481"/>
      <c r="C32" s="481"/>
      <c r="D32" s="481"/>
      <c r="E32" s="481"/>
      <c r="F32" s="481"/>
      <c r="G32" s="500"/>
      <c r="H32" s="501"/>
      <c r="I32" s="500"/>
      <c r="J32" s="500"/>
      <c r="K32" s="488"/>
      <c r="M32" s="492"/>
      <c r="N32" s="493"/>
      <c r="O32" s="493"/>
      <c r="P32" s="493"/>
      <c r="Q32" s="493"/>
      <c r="R32" s="493"/>
      <c r="S32" s="493"/>
      <c r="T32" s="494"/>
    </row>
    <row r="33" spans="1:20" ht="17.25" customHeight="1">
      <c r="A33" s="484"/>
      <c r="B33" s="481"/>
      <c r="C33" s="481"/>
      <c r="D33" s="481"/>
      <c r="E33" s="481"/>
      <c r="F33" s="481"/>
      <c r="G33" s="85"/>
      <c r="H33" s="87"/>
      <c r="I33" s="498">
        <f>(K26/H26)*(1+G33)</f>
        <v>6.176636363636363</v>
      </c>
      <c r="J33" s="498"/>
      <c r="K33" s="488"/>
      <c r="M33" s="495"/>
      <c r="N33" s="496"/>
      <c r="O33" s="496"/>
      <c r="P33" s="496"/>
      <c r="Q33" s="496"/>
      <c r="R33" s="496"/>
      <c r="S33" s="496"/>
      <c r="T33" s="497"/>
    </row>
    <row r="34" spans="1:20" ht="17.25" customHeight="1">
      <c r="A34" s="78" t="s">
        <v>11</v>
      </c>
      <c r="B34" s="499" t="s">
        <v>22</v>
      </c>
      <c r="C34" s="499"/>
      <c r="D34" s="499"/>
      <c r="E34" s="499"/>
      <c r="F34" s="499"/>
      <c r="G34" s="499"/>
      <c r="H34" s="499"/>
      <c r="I34" s="499"/>
      <c r="J34" s="499"/>
      <c r="K34" s="89"/>
    </row>
    <row r="35" spans="1:20" ht="17.25" customHeight="1">
      <c r="A35" s="483" t="s">
        <v>23</v>
      </c>
      <c r="B35" s="483"/>
      <c r="C35" s="483"/>
      <c r="D35" s="483"/>
      <c r="E35" s="483"/>
      <c r="F35" s="483"/>
      <c r="G35" s="483"/>
      <c r="H35" s="483"/>
      <c r="I35" s="483"/>
      <c r="J35" s="483"/>
      <c r="K35" s="11">
        <f>ROUND(SUM(K26:K34),2)</f>
        <v>1358.86</v>
      </c>
    </row>
    <row r="36" spans="1:20" ht="6.75" customHeight="1">
      <c r="A36" s="476"/>
      <c r="B36" s="476"/>
      <c r="C36" s="476"/>
      <c r="D36" s="476"/>
      <c r="E36" s="476"/>
      <c r="F36" s="476"/>
      <c r="G36" s="476"/>
      <c r="H36" s="476"/>
      <c r="I36" s="476"/>
      <c r="J36" s="476"/>
      <c r="K36" s="476"/>
    </row>
    <row r="37" spans="1:20" ht="17.25" customHeight="1">
      <c r="A37" s="483" t="s">
        <v>24</v>
      </c>
      <c r="B37" s="483"/>
      <c r="C37" s="483"/>
      <c r="D37" s="483"/>
      <c r="E37" s="483"/>
      <c r="F37" s="483"/>
      <c r="G37" s="483"/>
      <c r="H37" s="483"/>
      <c r="I37" s="483"/>
      <c r="J37" s="483"/>
      <c r="K37" s="483"/>
    </row>
    <row r="38" spans="1:20" ht="17.25" customHeight="1">
      <c r="A38" s="514" t="s">
        <v>121</v>
      </c>
      <c r="B38" s="514"/>
      <c r="C38" s="514"/>
      <c r="D38" s="514"/>
      <c r="E38" s="514"/>
      <c r="F38" s="514"/>
      <c r="G38" s="514"/>
      <c r="H38" s="514"/>
      <c r="I38" s="514"/>
      <c r="J38" s="514"/>
      <c r="K38" s="514"/>
      <c r="M38" s="26"/>
    </row>
    <row r="39" spans="1:20" s="2" customFormat="1" ht="17.25" customHeight="1">
      <c r="A39" s="516"/>
      <c r="B39" s="516"/>
      <c r="C39" s="516"/>
      <c r="D39" s="516"/>
      <c r="E39" s="516"/>
      <c r="F39" s="516"/>
      <c r="G39" s="516"/>
      <c r="H39" s="516"/>
      <c r="I39" s="483" t="s">
        <v>25</v>
      </c>
      <c r="J39" s="483"/>
      <c r="K39" s="81" t="s">
        <v>20</v>
      </c>
      <c r="M39" s="22"/>
      <c r="N39" s="22"/>
      <c r="O39" s="22"/>
      <c r="P39" s="22"/>
      <c r="Q39" s="22"/>
      <c r="R39" s="22"/>
      <c r="S39" s="22"/>
      <c r="T39" s="22"/>
    </row>
    <row r="40" spans="1:20" ht="17.25" customHeight="1">
      <c r="A40" s="78" t="s">
        <v>1</v>
      </c>
      <c r="B40" s="482" t="s">
        <v>122</v>
      </c>
      <c r="C40" s="482"/>
      <c r="D40" s="482"/>
      <c r="E40" s="482"/>
      <c r="F40" s="482"/>
      <c r="G40" s="482"/>
      <c r="H40" s="482"/>
      <c r="I40" s="511">
        <f>ROUND(1/12,4)</f>
        <v>8.3299999999999999E-2</v>
      </c>
      <c r="J40" s="511"/>
      <c r="K40" s="80">
        <f>ROUND(I40*$K$35,2)</f>
        <v>113.19</v>
      </c>
      <c r="M40" s="502" t="s">
        <v>108</v>
      </c>
      <c r="N40" s="503"/>
      <c r="O40" s="503"/>
      <c r="P40" s="503"/>
      <c r="Q40" s="503"/>
      <c r="R40" s="503"/>
      <c r="S40" s="503"/>
      <c r="T40" s="504"/>
    </row>
    <row r="41" spans="1:20" ht="17.25" customHeight="1">
      <c r="A41" s="78" t="s">
        <v>3</v>
      </c>
      <c r="B41" s="481" t="s">
        <v>26</v>
      </c>
      <c r="C41" s="481"/>
      <c r="D41" s="481"/>
      <c r="E41" s="481"/>
      <c r="F41" s="481"/>
      <c r="G41" s="481"/>
      <c r="H41" s="481"/>
      <c r="I41" s="511">
        <f>ROUND(1/3/12,4)</f>
        <v>2.7799999999999998E-2</v>
      </c>
      <c r="J41" s="511"/>
      <c r="K41" s="80">
        <f>ROUND(I41*$K$35,2)</f>
        <v>37.78</v>
      </c>
      <c r="M41" s="505"/>
      <c r="N41" s="506"/>
      <c r="O41" s="506"/>
      <c r="P41" s="506"/>
      <c r="Q41" s="506"/>
      <c r="R41" s="506"/>
      <c r="S41" s="506"/>
      <c r="T41" s="507"/>
    </row>
    <row r="42" spans="1:20" ht="17.25" customHeight="1">
      <c r="A42" s="20" t="s">
        <v>5</v>
      </c>
      <c r="B42" s="512" t="s">
        <v>141</v>
      </c>
      <c r="C42" s="512"/>
      <c r="D42" s="512"/>
      <c r="E42" s="512"/>
      <c r="F42" s="512"/>
      <c r="G42" s="512"/>
      <c r="H42" s="512"/>
      <c r="I42" s="513">
        <f>ROUND(1/12,4)</f>
        <v>8.3299999999999999E-2</v>
      </c>
      <c r="J42" s="513"/>
      <c r="K42" s="83">
        <f>ROUND(I42*$K$35,2)</f>
        <v>113.19</v>
      </c>
      <c r="M42" s="508"/>
      <c r="N42" s="509"/>
      <c r="O42" s="509"/>
      <c r="P42" s="509"/>
      <c r="Q42" s="509"/>
      <c r="R42" s="509"/>
      <c r="S42" s="509"/>
      <c r="T42" s="510"/>
    </row>
    <row r="43" spans="1:20" ht="17.25" customHeight="1">
      <c r="A43" s="514" t="s">
        <v>27</v>
      </c>
      <c r="B43" s="514"/>
      <c r="C43" s="514"/>
      <c r="D43" s="514"/>
      <c r="E43" s="514"/>
      <c r="F43" s="514"/>
      <c r="G43" s="514"/>
      <c r="H43" s="514"/>
      <c r="I43" s="515">
        <f>SUM(I40:J42)</f>
        <v>0.19440000000000002</v>
      </c>
      <c r="J43" s="515"/>
      <c r="K43" s="12">
        <f>ROUND(SUM(K40:K42),2)</f>
        <v>264.16000000000003</v>
      </c>
    </row>
    <row r="44" spans="1:20" ht="6.75" customHeight="1">
      <c r="A44" s="480"/>
      <c r="B44" s="480"/>
      <c r="C44" s="480"/>
      <c r="D44" s="480"/>
      <c r="E44" s="480"/>
      <c r="F44" s="480"/>
      <c r="G44" s="480"/>
      <c r="H44" s="480"/>
      <c r="I44" s="480"/>
      <c r="J44" s="480"/>
      <c r="K44" s="480"/>
    </row>
    <row r="45" spans="1:20" ht="17.25" customHeight="1">
      <c r="A45" s="514" t="s">
        <v>28</v>
      </c>
      <c r="B45" s="514"/>
      <c r="C45" s="514"/>
      <c r="D45" s="514"/>
      <c r="E45" s="514"/>
      <c r="F45" s="514"/>
      <c r="G45" s="514"/>
      <c r="H45" s="514"/>
      <c r="I45" s="514"/>
      <c r="J45" s="514"/>
      <c r="K45" s="514"/>
    </row>
    <row r="46" spans="1:20" ht="17.25" customHeight="1">
      <c r="A46" s="520" t="s">
        <v>68</v>
      </c>
      <c r="B46" s="520"/>
      <c r="C46" s="520"/>
      <c r="D46" s="520"/>
      <c r="E46" s="520"/>
      <c r="F46" s="520"/>
      <c r="G46" s="520"/>
      <c r="H46" s="520"/>
      <c r="I46" s="520"/>
      <c r="J46" s="520"/>
      <c r="K46" s="12">
        <f>K35</f>
        <v>1358.86</v>
      </c>
    </row>
    <row r="47" spans="1:20" ht="17.25" customHeight="1">
      <c r="A47" s="521" t="s">
        <v>79</v>
      </c>
      <c r="B47" s="521"/>
      <c r="C47" s="521"/>
      <c r="D47" s="521"/>
      <c r="E47" s="521"/>
      <c r="F47" s="521"/>
      <c r="G47" s="521"/>
      <c r="H47" s="521"/>
      <c r="I47" s="521"/>
      <c r="J47" s="521"/>
      <c r="K47" s="12">
        <f>K43</f>
        <v>264.16000000000003</v>
      </c>
    </row>
    <row r="48" spans="1:20" ht="17.25" customHeight="1">
      <c r="A48" s="521" t="s">
        <v>80</v>
      </c>
      <c r="B48" s="521"/>
      <c r="C48" s="521"/>
      <c r="D48" s="521"/>
      <c r="E48" s="521"/>
      <c r="F48" s="521"/>
      <c r="G48" s="521"/>
      <c r="H48" s="521"/>
      <c r="I48" s="521"/>
      <c r="J48" s="521"/>
      <c r="K48" s="12">
        <f>SUM(K46:K47)</f>
        <v>1623.02</v>
      </c>
    </row>
    <row r="49" spans="1:20" s="2" customFormat="1" ht="17.25" customHeight="1">
      <c r="A49" s="516"/>
      <c r="B49" s="516"/>
      <c r="C49" s="516"/>
      <c r="D49" s="516"/>
      <c r="E49" s="516"/>
      <c r="F49" s="516"/>
      <c r="G49" s="516"/>
      <c r="H49" s="516"/>
      <c r="I49" s="483" t="s">
        <v>25</v>
      </c>
      <c r="J49" s="483"/>
      <c r="K49" s="81" t="s">
        <v>20</v>
      </c>
      <c r="M49" s="71"/>
      <c r="N49" s="71"/>
      <c r="O49" s="71"/>
      <c r="P49" s="71"/>
      <c r="Q49" s="71"/>
      <c r="R49" s="71"/>
      <c r="S49" s="22"/>
      <c r="T49" s="22"/>
    </row>
    <row r="50" spans="1:20" ht="17.25" customHeight="1">
      <c r="A50" s="78" t="s">
        <v>1</v>
      </c>
      <c r="B50" s="482" t="s">
        <v>144</v>
      </c>
      <c r="C50" s="482"/>
      <c r="D50" s="482"/>
      <c r="E50" s="482"/>
      <c r="F50" s="482"/>
      <c r="G50" s="482"/>
      <c r="H50" s="482"/>
      <c r="I50" s="513">
        <v>0.2</v>
      </c>
      <c r="J50" s="513"/>
      <c r="K50" s="80">
        <f>ROUND(I50*$K$48,2)</f>
        <v>324.60000000000002</v>
      </c>
    </row>
    <row r="51" spans="1:20" ht="17.25" customHeight="1">
      <c r="A51" s="78" t="s">
        <v>3</v>
      </c>
      <c r="B51" s="482" t="s">
        <v>145</v>
      </c>
      <c r="C51" s="482"/>
      <c r="D51" s="482"/>
      <c r="E51" s="482"/>
      <c r="F51" s="482"/>
      <c r="G51" s="482"/>
      <c r="H51" s="482"/>
      <c r="I51" s="513">
        <v>2.5000000000000001E-2</v>
      </c>
      <c r="J51" s="513"/>
      <c r="K51" s="80">
        <f t="shared" ref="K51:K58" si="0">ROUND(I51*$K$48,2)</f>
        <v>40.58</v>
      </c>
    </row>
    <row r="52" spans="1:20" ht="17.25" customHeight="1">
      <c r="A52" s="517" t="s">
        <v>5</v>
      </c>
      <c r="B52" s="518" t="s">
        <v>146</v>
      </c>
      <c r="C52" s="518"/>
      <c r="D52" s="518"/>
      <c r="E52" s="518"/>
      <c r="F52" s="518"/>
      <c r="G52" s="21" t="s">
        <v>118</v>
      </c>
      <c r="H52" s="21" t="s">
        <v>119</v>
      </c>
      <c r="I52" s="519">
        <f>(G53*H53)*100</f>
        <v>0.06</v>
      </c>
      <c r="J52" s="519"/>
      <c r="K52" s="529">
        <f t="shared" si="0"/>
        <v>97.38</v>
      </c>
      <c r="M52" s="530" t="s">
        <v>152</v>
      </c>
      <c r="N52" s="531"/>
      <c r="O52" s="531"/>
      <c r="P52" s="531"/>
      <c r="Q52" s="531"/>
      <c r="R52" s="531"/>
      <c r="S52" s="531"/>
      <c r="T52" s="532"/>
    </row>
    <row r="53" spans="1:20" ht="17.25" customHeight="1">
      <c r="A53" s="517"/>
      <c r="B53" s="518"/>
      <c r="C53" s="518"/>
      <c r="D53" s="518"/>
      <c r="E53" s="518"/>
      <c r="F53" s="518"/>
      <c r="G53" s="88">
        <v>0.03</v>
      </c>
      <c r="H53" s="88">
        <v>0.02</v>
      </c>
      <c r="I53" s="519"/>
      <c r="J53" s="519"/>
      <c r="K53" s="529"/>
      <c r="M53" s="533"/>
      <c r="N53" s="534"/>
      <c r="O53" s="534"/>
      <c r="P53" s="534"/>
      <c r="Q53" s="534"/>
      <c r="R53" s="534"/>
      <c r="S53" s="534"/>
      <c r="T53" s="535"/>
    </row>
    <row r="54" spans="1:20" ht="17.25" customHeight="1">
      <c r="A54" s="78" t="s">
        <v>6</v>
      </c>
      <c r="B54" s="482" t="s">
        <v>147</v>
      </c>
      <c r="C54" s="482"/>
      <c r="D54" s="482"/>
      <c r="E54" s="482"/>
      <c r="F54" s="482"/>
      <c r="G54" s="482"/>
      <c r="H54" s="482"/>
      <c r="I54" s="513">
        <v>1.4999999999999999E-2</v>
      </c>
      <c r="J54" s="513"/>
      <c r="K54" s="80">
        <f t="shared" si="0"/>
        <v>24.35</v>
      </c>
    </row>
    <row r="55" spans="1:20" ht="17.25" customHeight="1">
      <c r="A55" s="78" t="s">
        <v>8</v>
      </c>
      <c r="B55" s="482" t="s">
        <v>148</v>
      </c>
      <c r="C55" s="482"/>
      <c r="D55" s="482"/>
      <c r="E55" s="482"/>
      <c r="F55" s="482"/>
      <c r="G55" s="482"/>
      <c r="H55" s="482"/>
      <c r="I55" s="513">
        <v>0.01</v>
      </c>
      <c r="J55" s="513"/>
      <c r="K55" s="80">
        <f t="shared" si="0"/>
        <v>16.23</v>
      </c>
    </row>
    <row r="56" spans="1:20" ht="17.25" customHeight="1">
      <c r="A56" s="78" t="s">
        <v>10</v>
      </c>
      <c r="B56" s="482" t="s">
        <v>149</v>
      </c>
      <c r="C56" s="482"/>
      <c r="D56" s="482"/>
      <c r="E56" s="482"/>
      <c r="F56" s="482"/>
      <c r="G56" s="482"/>
      <c r="H56" s="482"/>
      <c r="I56" s="513">
        <v>6.0000000000000001E-3</v>
      </c>
      <c r="J56" s="513"/>
      <c r="K56" s="80">
        <f t="shared" si="0"/>
        <v>9.74</v>
      </c>
    </row>
    <row r="57" spans="1:20" ht="17.25" customHeight="1">
      <c r="A57" s="78" t="s">
        <v>11</v>
      </c>
      <c r="B57" s="482" t="s">
        <v>150</v>
      </c>
      <c r="C57" s="482"/>
      <c r="D57" s="482"/>
      <c r="E57" s="482"/>
      <c r="F57" s="482"/>
      <c r="G57" s="482"/>
      <c r="H57" s="482"/>
      <c r="I57" s="513">
        <v>2E-3</v>
      </c>
      <c r="J57" s="513"/>
      <c r="K57" s="80">
        <f t="shared" si="0"/>
        <v>3.25</v>
      </c>
    </row>
    <row r="58" spans="1:20" ht="17.25" customHeight="1">
      <c r="A58" s="78" t="s">
        <v>12</v>
      </c>
      <c r="B58" s="482" t="s">
        <v>151</v>
      </c>
      <c r="C58" s="482"/>
      <c r="D58" s="482"/>
      <c r="E58" s="482"/>
      <c r="F58" s="482"/>
      <c r="G58" s="482"/>
      <c r="H58" s="482"/>
      <c r="I58" s="513">
        <v>0.08</v>
      </c>
      <c r="J58" s="513"/>
      <c r="K58" s="80">
        <f t="shared" si="0"/>
        <v>129.84</v>
      </c>
    </row>
    <row r="59" spans="1:20" ht="17.25" customHeight="1">
      <c r="A59" s="514" t="s">
        <v>29</v>
      </c>
      <c r="B59" s="514"/>
      <c r="C59" s="514"/>
      <c r="D59" s="514"/>
      <c r="E59" s="514"/>
      <c r="F59" s="514"/>
      <c r="G59" s="514"/>
      <c r="H59" s="514"/>
      <c r="I59" s="515">
        <f>SUM(I50:J58)</f>
        <v>0.39800000000000008</v>
      </c>
      <c r="J59" s="515"/>
      <c r="K59" s="12">
        <f>ROUND(SUM(K50:K58),2)</f>
        <v>645.97</v>
      </c>
    </row>
    <row r="60" spans="1:20" ht="5.25" customHeight="1">
      <c r="A60" s="545"/>
      <c r="B60" s="545"/>
      <c r="C60" s="545"/>
      <c r="D60" s="545"/>
      <c r="E60" s="545"/>
      <c r="F60" s="545"/>
      <c r="G60" s="545"/>
      <c r="H60" s="545"/>
      <c r="I60" s="545"/>
      <c r="J60" s="545"/>
      <c r="K60" s="545"/>
    </row>
    <row r="61" spans="1:20" ht="17.25" customHeight="1">
      <c r="A61" s="514" t="s">
        <v>30</v>
      </c>
      <c r="B61" s="514"/>
      <c r="C61" s="514"/>
      <c r="D61" s="514"/>
      <c r="E61" s="514"/>
      <c r="F61" s="514"/>
      <c r="G61" s="514"/>
      <c r="H61" s="514"/>
      <c r="I61" s="514"/>
      <c r="J61" s="514"/>
      <c r="K61" s="514"/>
      <c r="M61" s="522" t="s">
        <v>155</v>
      </c>
      <c r="N61" s="523"/>
      <c r="O61" s="523"/>
      <c r="P61" s="523"/>
      <c r="Q61" s="523"/>
      <c r="R61" s="523"/>
      <c r="S61" s="523"/>
      <c r="T61" s="524"/>
    </row>
    <row r="62" spans="1:20" ht="17.25" customHeight="1">
      <c r="A62" s="528"/>
      <c r="B62" s="528"/>
      <c r="C62" s="528"/>
      <c r="D62" s="528"/>
      <c r="E62" s="528"/>
      <c r="F62" s="528"/>
      <c r="G62" s="528"/>
      <c r="H62" s="528"/>
      <c r="I62" s="528"/>
      <c r="J62" s="528"/>
      <c r="K62" s="81" t="s">
        <v>20</v>
      </c>
      <c r="M62" s="525"/>
      <c r="N62" s="526"/>
      <c r="O62" s="526"/>
      <c r="P62" s="526"/>
      <c r="Q62" s="526"/>
      <c r="R62" s="526"/>
      <c r="S62" s="526"/>
      <c r="T62" s="527"/>
    </row>
    <row r="63" spans="1:20" ht="17.25" customHeight="1">
      <c r="A63" s="484" t="s">
        <v>1</v>
      </c>
      <c r="B63" s="536" t="s">
        <v>128</v>
      </c>
      <c r="C63" s="537"/>
      <c r="D63" s="537"/>
      <c r="E63" s="537"/>
      <c r="F63" s="538"/>
      <c r="G63" s="539" t="s">
        <v>216</v>
      </c>
      <c r="H63" s="540"/>
      <c r="I63" s="540"/>
      <c r="J63" s="541"/>
      <c r="K63" s="542">
        <f>ROUND((B65*E65*F65)-G65,2)</f>
        <v>74.67</v>
      </c>
    </row>
    <row r="64" spans="1:20" ht="17.25" customHeight="1">
      <c r="A64" s="484"/>
      <c r="B64" s="543" t="s">
        <v>34</v>
      </c>
      <c r="C64" s="543"/>
      <c r="D64" s="543"/>
      <c r="E64" s="78" t="s">
        <v>32</v>
      </c>
      <c r="F64" s="82" t="s">
        <v>35</v>
      </c>
      <c r="G64" s="543" t="s">
        <v>139</v>
      </c>
      <c r="H64" s="543"/>
      <c r="I64" s="543"/>
      <c r="J64" s="543"/>
      <c r="K64" s="542"/>
    </row>
    <row r="65" spans="1:20" ht="17.25" customHeight="1">
      <c r="A65" s="484"/>
      <c r="B65" s="544">
        <v>2</v>
      </c>
      <c r="C65" s="544"/>
      <c r="D65" s="544"/>
      <c r="E65" s="70">
        <v>22</v>
      </c>
      <c r="F65" s="89">
        <v>3.55</v>
      </c>
      <c r="G65" s="542">
        <f>0.06*K26</f>
        <v>81.531599999999997</v>
      </c>
      <c r="H65" s="542"/>
      <c r="I65" s="542"/>
      <c r="J65" s="542"/>
      <c r="K65" s="542"/>
    </row>
    <row r="66" spans="1:20" ht="17.25" customHeight="1">
      <c r="A66" s="484" t="s">
        <v>3</v>
      </c>
      <c r="B66" s="546" t="s">
        <v>81</v>
      </c>
      <c r="C66" s="547"/>
      <c r="D66" s="547"/>
      <c r="E66" s="547"/>
      <c r="F66" s="548"/>
      <c r="G66" s="539" t="s">
        <v>164</v>
      </c>
      <c r="H66" s="540"/>
      <c r="I66" s="540"/>
      <c r="J66" s="541"/>
      <c r="K66" s="542">
        <f>ROUND((B68-G68)*F68,2)</f>
        <v>347.6</v>
      </c>
      <c r="M66" s="549" t="s">
        <v>132</v>
      </c>
      <c r="N66" s="550"/>
      <c r="O66" s="550"/>
      <c r="P66" s="550"/>
      <c r="Q66" s="550"/>
      <c r="R66" s="550"/>
      <c r="S66" s="550"/>
      <c r="T66" s="551"/>
    </row>
    <row r="67" spans="1:20" ht="17.25" customHeight="1">
      <c r="A67" s="484"/>
      <c r="B67" s="484" t="s">
        <v>82</v>
      </c>
      <c r="C67" s="484"/>
      <c r="D67" s="484"/>
      <c r="E67" s="484"/>
      <c r="F67" s="78" t="s">
        <v>32</v>
      </c>
      <c r="G67" s="484" t="s">
        <v>131</v>
      </c>
      <c r="H67" s="484"/>
      <c r="I67" s="484"/>
      <c r="J67" s="484"/>
      <c r="K67" s="542"/>
      <c r="M67" s="552"/>
      <c r="N67" s="553"/>
      <c r="O67" s="553"/>
      <c r="P67" s="553"/>
      <c r="Q67" s="553"/>
      <c r="R67" s="553"/>
      <c r="S67" s="553"/>
      <c r="T67" s="554"/>
    </row>
    <row r="68" spans="1:20" ht="17.25" customHeight="1">
      <c r="A68" s="484"/>
      <c r="B68" s="488">
        <v>15.93</v>
      </c>
      <c r="C68" s="488"/>
      <c r="D68" s="488"/>
      <c r="E68" s="488"/>
      <c r="F68" s="40">
        <f>E65</f>
        <v>22</v>
      </c>
      <c r="G68" s="529">
        <v>0.13</v>
      </c>
      <c r="H68" s="529"/>
      <c r="I68" s="529"/>
      <c r="J68" s="529"/>
      <c r="K68" s="542"/>
      <c r="M68" s="555"/>
      <c r="N68" s="556"/>
      <c r="O68" s="556"/>
      <c r="P68" s="556"/>
      <c r="Q68" s="556"/>
      <c r="R68" s="556"/>
      <c r="S68" s="556"/>
      <c r="T68" s="557"/>
    </row>
    <row r="69" spans="1:20" ht="17.25" customHeight="1">
      <c r="A69" s="484" t="s">
        <v>5</v>
      </c>
      <c r="B69" s="546" t="s">
        <v>31</v>
      </c>
      <c r="C69" s="547"/>
      <c r="D69" s="547"/>
      <c r="E69" s="547"/>
      <c r="F69" s="548"/>
      <c r="G69" s="539" t="s">
        <v>164</v>
      </c>
      <c r="H69" s="540"/>
      <c r="I69" s="540"/>
      <c r="J69" s="541"/>
      <c r="K69" s="80"/>
    </row>
    <row r="70" spans="1:20" ht="17.25" customHeight="1">
      <c r="A70" s="484"/>
      <c r="B70" s="484" t="s">
        <v>82</v>
      </c>
      <c r="C70" s="484"/>
      <c r="D70" s="484"/>
      <c r="E70" s="484"/>
      <c r="F70" s="484"/>
      <c r="G70" s="484" t="s">
        <v>33</v>
      </c>
      <c r="H70" s="484"/>
      <c r="I70" s="484"/>
      <c r="J70" s="484"/>
      <c r="K70" s="542">
        <f>B71</f>
        <v>110.94</v>
      </c>
    </row>
    <row r="71" spans="1:20" ht="17.25" customHeight="1">
      <c r="A71" s="484"/>
      <c r="B71" s="558">
        <v>110.94</v>
      </c>
      <c r="C71" s="558"/>
      <c r="D71" s="558"/>
      <c r="E71" s="558"/>
      <c r="F71" s="558"/>
      <c r="G71" s="558">
        <v>0</v>
      </c>
      <c r="H71" s="558"/>
      <c r="I71" s="558"/>
      <c r="J71" s="558"/>
      <c r="K71" s="542"/>
    </row>
    <row r="72" spans="1:20" ht="17.25" customHeight="1">
      <c r="A72" s="484" t="s">
        <v>6</v>
      </c>
      <c r="B72" s="546" t="s">
        <v>165</v>
      </c>
      <c r="C72" s="547"/>
      <c r="D72" s="547"/>
      <c r="E72" s="547"/>
      <c r="F72" s="548"/>
      <c r="G72" s="539" t="s">
        <v>164</v>
      </c>
      <c r="H72" s="540"/>
      <c r="I72" s="540"/>
      <c r="J72" s="541"/>
      <c r="K72" s="529">
        <f>B74-G74</f>
        <v>28</v>
      </c>
    </row>
    <row r="73" spans="1:20" ht="17.25" customHeight="1">
      <c r="A73" s="484"/>
      <c r="B73" s="517" t="s">
        <v>166</v>
      </c>
      <c r="C73" s="517"/>
      <c r="D73" s="517"/>
      <c r="E73" s="517"/>
      <c r="F73" s="517"/>
      <c r="G73" s="484" t="s">
        <v>33</v>
      </c>
      <c r="H73" s="484"/>
      <c r="I73" s="484"/>
      <c r="J73" s="484"/>
      <c r="K73" s="529"/>
    </row>
    <row r="74" spans="1:20" ht="17.25" customHeight="1">
      <c r="A74" s="484"/>
      <c r="B74" s="488">
        <v>28</v>
      </c>
      <c r="C74" s="488"/>
      <c r="D74" s="488"/>
      <c r="E74" s="488"/>
      <c r="F74" s="488"/>
      <c r="G74" s="488">
        <v>0</v>
      </c>
      <c r="H74" s="488"/>
      <c r="I74" s="488"/>
      <c r="J74" s="488"/>
      <c r="K74" s="529"/>
    </row>
    <row r="75" spans="1:20" ht="17.25" customHeight="1">
      <c r="A75" s="484" t="s">
        <v>8</v>
      </c>
      <c r="B75" s="546" t="s">
        <v>129</v>
      </c>
      <c r="C75" s="547"/>
      <c r="D75" s="547"/>
      <c r="E75" s="547"/>
      <c r="F75" s="548"/>
      <c r="G75" s="539" t="s">
        <v>217</v>
      </c>
      <c r="H75" s="540"/>
      <c r="I75" s="540"/>
      <c r="J75" s="541"/>
      <c r="K75" s="529">
        <f>F77*G77</f>
        <v>0.12468</v>
      </c>
      <c r="M75" s="559" t="s">
        <v>136</v>
      </c>
      <c r="N75" s="560"/>
      <c r="O75" s="560"/>
      <c r="P75" s="560"/>
      <c r="Q75" s="560"/>
      <c r="R75" s="560"/>
      <c r="S75" s="560"/>
      <c r="T75" s="561"/>
    </row>
    <row r="76" spans="1:20" ht="17.25" customHeight="1">
      <c r="A76" s="484"/>
      <c r="B76" s="517" t="s">
        <v>133</v>
      </c>
      <c r="C76" s="517"/>
      <c r="D76" s="517"/>
      <c r="E76" s="517"/>
      <c r="F76" s="77" t="s">
        <v>134</v>
      </c>
      <c r="G76" s="543" t="s">
        <v>135</v>
      </c>
      <c r="H76" s="543"/>
      <c r="I76" s="543"/>
      <c r="J76" s="543"/>
      <c r="K76" s="529"/>
      <c r="M76" s="562"/>
      <c r="N76" s="563"/>
      <c r="O76" s="563"/>
      <c r="P76" s="563"/>
      <c r="Q76" s="563"/>
      <c r="R76" s="563"/>
      <c r="S76" s="563"/>
      <c r="T76" s="564"/>
    </row>
    <row r="77" spans="1:20" ht="17.25" customHeight="1">
      <c r="A77" s="484"/>
      <c r="B77" s="565">
        <f>K17</f>
        <v>1039</v>
      </c>
      <c r="C77" s="565"/>
      <c r="D77" s="565"/>
      <c r="E77" s="565"/>
      <c r="F77" s="76">
        <f>B77*0.2</f>
        <v>207.8</v>
      </c>
      <c r="G77" s="566">
        <v>5.9999999999999995E-4</v>
      </c>
      <c r="H77" s="566"/>
      <c r="I77" s="566"/>
      <c r="J77" s="566"/>
      <c r="K77" s="529"/>
      <c r="M77" s="562"/>
      <c r="N77" s="563"/>
      <c r="O77" s="563"/>
      <c r="P77" s="563"/>
      <c r="Q77" s="563"/>
      <c r="R77" s="563"/>
      <c r="S77" s="563"/>
      <c r="T77" s="564"/>
    </row>
    <row r="78" spans="1:20" ht="17.25" customHeight="1">
      <c r="A78" s="484" t="s">
        <v>10</v>
      </c>
      <c r="B78" s="546" t="s">
        <v>130</v>
      </c>
      <c r="C78" s="547"/>
      <c r="D78" s="547"/>
      <c r="E78" s="547"/>
      <c r="F78" s="548"/>
      <c r="G78" s="539" t="s">
        <v>218</v>
      </c>
      <c r="H78" s="540"/>
      <c r="I78" s="540"/>
      <c r="J78" s="541"/>
      <c r="K78" s="529">
        <f>F80-G80</f>
        <v>3.3180000000000005</v>
      </c>
      <c r="M78" s="27"/>
      <c r="N78" s="27"/>
      <c r="O78" s="27"/>
      <c r="P78" s="27"/>
      <c r="Q78" s="27"/>
      <c r="R78" s="27"/>
      <c r="S78" s="27"/>
      <c r="T78" s="27"/>
    </row>
    <row r="79" spans="1:20" ht="17.25" customHeight="1">
      <c r="A79" s="484"/>
      <c r="B79" s="517" t="s">
        <v>137</v>
      </c>
      <c r="C79" s="517"/>
      <c r="D79" s="517"/>
      <c r="E79" s="517"/>
      <c r="F79" s="77" t="s">
        <v>138</v>
      </c>
      <c r="G79" s="484" t="s">
        <v>33</v>
      </c>
      <c r="H79" s="484"/>
      <c r="I79" s="484"/>
      <c r="J79" s="484"/>
      <c r="K79" s="529"/>
    </row>
    <row r="80" spans="1:20" ht="17.25" customHeight="1">
      <c r="A80" s="484"/>
      <c r="B80" s="488">
        <v>44.24</v>
      </c>
      <c r="C80" s="488"/>
      <c r="D80" s="488"/>
      <c r="E80" s="488"/>
      <c r="F80" s="76">
        <f>B80/12</f>
        <v>3.686666666666667</v>
      </c>
      <c r="G80" s="488">
        <f>F80*0.1</f>
        <v>0.3686666666666667</v>
      </c>
      <c r="H80" s="488"/>
      <c r="I80" s="488"/>
      <c r="J80" s="488"/>
      <c r="K80" s="529"/>
    </row>
    <row r="81" spans="1:20" ht="17.25" customHeight="1">
      <c r="A81" s="484" t="s">
        <v>11</v>
      </c>
      <c r="B81" s="546" t="s">
        <v>167</v>
      </c>
      <c r="C81" s="547"/>
      <c r="D81" s="547"/>
      <c r="E81" s="547"/>
      <c r="F81" s="548"/>
      <c r="G81" s="539" t="s">
        <v>219</v>
      </c>
      <c r="H81" s="540"/>
      <c r="I81" s="540"/>
      <c r="J81" s="541"/>
      <c r="K81" s="529">
        <f>B83-G83</f>
        <v>9.74</v>
      </c>
    </row>
    <row r="82" spans="1:20" ht="17.25" customHeight="1">
      <c r="A82" s="484"/>
      <c r="B82" s="517" t="s">
        <v>166</v>
      </c>
      <c r="C82" s="517"/>
      <c r="D82" s="517"/>
      <c r="E82" s="517"/>
      <c r="F82" s="517"/>
      <c r="G82" s="484" t="s">
        <v>33</v>
      </c>
      <c r="H82" s="484"/>
      <c r="I82" s="484"/>
      <c r="J82" s="484"/>
      <c r="K82" s="529"/>
    </row>
    <row r="83" spans="1:20" ht="17.25" customHeight="1">
      <c r="A83" s="484"/>
      <c r="B83" s="488">
        <v>9.74</v>
      </c>
      <c r="C83" s="488"/>
      <c r="D83" s="488"/>
      <c r="E83" s="488"/>
      <c r="F83" s="488"/>
      <c r="G83" s="488">
        <v>0</v>
      </c>
      <c r="H83" s="488"/>
      <c r="I83" s="488"/>
      <c r="J83" s="488"/>
      <c r="K83" s="529"/>
    </row>
    <row r="84" spans="1:20" ht="17.25" customHeight="1">
      <c r="A84" s="484" t="s">
        <v>12</v>
      </c>
      <c r="B84" s="546" t="s">
        <v>168</v>
      </c>
      <c r="C84" s="547"/>
      <c r="D84" s="547"/>
      <c r="E84" s="547"/>
      <c r="F84" s="548"/>
      <c r="G84" s="539" t="s">
        <v>219</v>
      </c>
      <c r="H84" s="540"/>
      <c r="I84" s="540"/>
      <c r="J84" s="541"/>
      <c r="K84" s="529">
        <f>B86-G86</f>
        <v>3.93</v>
      </c>
    </row>
    <row r="85" spans="1:20" ht="17.25" customHeight="1">
      <c r="A85" s="484"/>
      <c r="B85" s="517" t="s">
        <v>166</v>
      </c>
      <c r="C85" s="517"/>
      <c r="D85" s="517"/>
      <c r="E85" s="517"/>
      <c r="F85" s="517"/>
      <c r="G85" s="484" t="s">
        <v>33</v>
      </c>
      <c r="H85" s="484"/>
      <c r="I85" s="484"/>
      <c r="J85" s="484"/>
      <c r="K85" s="529"/>
    </row>
    <row r="86" spans="1:20" ht="17.25" customHeight="1">
      <c r="A86" s="484"/>
      <c r="B86" s="488">
        <v>3.93</v>
      </c>
      <c r="C86" s="488"/>
      <c r="D86" s="488"/>
      <c r="E86" s="488"/>
      <c r="F86" s="488"/>
      <c r="G86" s="488">
        <v>0</v>
      </c>
      <c r="H86" s="488"/>
      <c r="I86" s="488"/>
      <c r="J86" s="488"/>
      <c r="K86" s="529"/>
    </row>
    <row r="87" spans="1:20" ht="17.25" customHeight="1">
      <c r="A87" s="78" t="s">
        <v>14</v>
      </c>
      <c r="B87" s="558" t="s">
        <v>83</v>
      </c>
      <c r="C87" s="558"/>
      <c r="D87" s="558"/>
      <c r="E87" s="558"/>
      <c r="F87" s="558"/>
      <c r="G87" s="558"/>
      <c r="H87" s="558"/>
      <c r="I87" s="558"/>
      <c r="J87" s="558"/>
      <c r="K87" s="89"/>
    </row>
    <row r="88" spans="1:20" ht="17.25" customHeight="1">
      <c r="A88" s="514" t="s">
        <v>36</v>
      </c>
      <c r="B88" s="514"/>
      <c r="C88" s="514"/>
      <c r="D88" s="514"/>
      <c r="E88" s="514"/>
      <c r="F88" s="514"/>
      <c r="G88" s="514"/>
      <c r="H88" s="514"/>
      <c r="I88" s="514"/>
      <c r="J88" s="514"/>
      <c r="K88" s="12">
        <f>ROUND(SUM(K62:K87),2)</f>
        <v>578.32000000000005</v>
      </c>
    </row>
    <row r="89" spans="1:20" ht="17.25" customHeight="1">
      <c r="A89" s="483" t="s">
        <v>37</v>
      </c>
      <c r="B89" s="483"/>
      <c r="C89" s="483"/>
      <c r="D89" s="483"/>
      <c r="E89" s="483"/>
      <c r="F89" s="483"/>
      <c r="G89" s="483"/>
      <c r="H89" s="483"/>
      <c r="I89" s="483"/>
      <c r="J89" s="483"/>
      <c r="K89" s="11">
        <f>ROUND(SUM(K88,K59,K43),2)</f>
        <v>1488.45</v>
      </c>
    </row>
    <row r="90" spans="1:20" ht="6.75" customHeight="1">
      <c r="A90" s="476"/>
      <c r="B90" s="476"/>
      <c r="C90" s="476"/>
      <c r="D90" s="476"/>
      <c r="E90" s="476"/>
      <c r="F90" s="476"/>
      <c r="G90" s="476"/>
      <c r="H90" s="476"/>
      <c r="I90" s="476"/>
      <c r="J90" s="476"/>
      <c r="K90" s="476"/>
    </row>
    <row r="91" spans="1:20" ht="17.25" customHeight="1">
      <c r="A91" s="483" t="s">
        <v>38</v>
      </c>
      <c r="B91" s="483"/>
      <c r="C91" s="483"/>
      <c r="D91" s="483"/>
      <c r="E91" s="483"/>
      <c r="F91" s="483"/>
      <c r="G91" s="483"/>
      <c r="H91" s="483"/>
      <c r="I91" s="483"/>
      <c r="J91" s="483"/>
      <c r="K91" s="483"/>
      <c r="M91" s="489" t="s">
        <v>109</v>
      </c>
      <c r="N91" s="490"/>
      <c r="O91" s="490"/>
      <c r="P91" s="490"/>
      <c r="Q91" s="490"/>
      <c r="R91" s="490"/>
      <c r="S91" s="490"/>
      <c r="T91" s="491"/>
    </row>
    <row r="92" spans="1:20" ht="17.25" customHeight="1">
      <c r="A92" s="567" t="s">
        <v>68</v>
      </c>
      <c r="B92" s="567"/>
      <c r="C92" s="567"/>
      <c r="D92" s="567"/>
      <c r="E92" s="567"/>
      <c r="F92" s="567"/>
      <c r="G92" s="567"/>
      <c r="H92" s="567"/>
      <c r="I92" s="567"/>
      <c r="J92" s="567"/>
      <c r="K92" s="11">
        <f>K35</f>
        <v>1358.86</v>
      </c>
      <c r="M92" s="495"/>
      <c r="N92" s="496"/>
      <c r="O92" s="496"/>
      <c r="P92" s="496"/>
      <c r="Q92" s="496"/>
      <c r="R92" s="496"/>
      <c r="S92" s="496"/>
      <c r="T92" s="497"/>
    </row>
    <row r="93" spans="1:20" ht="17.25" customHeight="1">
      <c r="A93" s="567" t="s">
        <v>79</v>
      </c>
      <c r="B93" s="567"/>
      <c r="C93" s="567"/>
      <c r="D93" s="567"/>
      <c r="E93" s="567"/>
      <c r="F93" s="567"/>
      <c r="G93" s="567"/>
      <c r="H93" s="567"/>
      <c r="I93" s="567"/>
      <c r="J93" s="567"/>
      <c r="K93" s="11">
        <f>K43</f>
        <v>264.16000000000003</v>
      </c>
      <c r="M93" s="489" t="s">
        <v>110</v>
      </c>
      <c r="N93" s="490"/>
      <c r="O93" s="490"/>
      <c r="P93" s="490"/>
      <c r="Q93" s="490"/>
      <c r="R93" s="490"/>
      <c r="S93" s="490"/>
      <c r="T93" s="491"/>
    </row>
    <row r="94" spans="1:20" ht="17.25" customHeight="1">
      <c r="A94" s="567" t="s">
        <v>80</v>
      </c>
      <c r="B94" s="567"/>
      <c r="C94" s="567"/>
      <c r="D94" s="567"/>
      <c r="E94" s="567"/>
      <c r="F94" s="567"/>
      <c r="G94" s="567"/>
      <c r="H94" s="567"/>
      <c r="I94" s="567"/>
      <c r="J94" s="567"/>
      <c r="K94" s="11">
        <f>SUM(K92:K93)</f>
        <v>1623.02</v>
      </c>
      <c r="M94" s="495"/>
      <c r="N94" s="496"/>
      <c r="O94" s="496"/>
      <c r="P94" s="496"/>
      <c r="Q94" s="496"/>
      <c r="R94" s="496"/>
      <c r="S94" s="496"/>
      <c r="T94" s="497"/>
    </row>
    <row r="95" spans="1:20" ht="17.25" customHeight="1">
      <c r="A95" s="528"/>
      <c r="B95" s="528"/>
      <c r="C95" s="528"/>
      <c r="D95" s="528"/>
      <c r="E95" s="528"/>
      <c r="F95" s="528"/>
      <c r="G95" s="528"/>
      <c r="H95" s="483" t="s">
        <v>19</v>
      </c>
      <c r="I95" s="483"/>
      <c r="J95" s="483"/>
      <c r="K95" s="81" t="s">
        <v>20</v>
      </c>
      <c r="M95" s="489" t="s">
        <v>244</v>
      </c>
      <c r="N95" s="490"/>
      <c r="O95" s="490"/>
      <c r="P95" s="490"/>
      <c r="Q95" s="490"/>
      <c r="R95" s="490"/>
      <c r="S95" s="490"/>
      <c r="T95" s="491"/>
    </row>
    <row r="96" spans="1:20" ht="17.25" customHeight="1">
      <c r="A96" s="78" t="s">
        <v>1</v>
      </c>
      <c r="B96" s="481" t="s">
        <v>39</v>
      </c>
      <c r="C96" s="481"/>
      <c r="D96" s="481"/>
      <c r="E96" s="481"/>
      <c r="F96" s="481"/>
      <c r="G96" s="481"/>
      <c r="H96" s="569">
        <v>4.5999999999999999E-3</v>
      </c>
      <c r="I96" s="569"/>
      <c r="J96" s="569"/>
      <c r="K96" s="80">
        <f t="shared" ref="K96:K101" si="1">ROUND(H96*$K$94,2)</f>
        <v>7.47</v>
      </c>
      <c r="M96" s="492"/>
      <c r="N96" s="493"/>
      <c r="O96" s="493"/>
      <c r="P96" s="493"/>
      <c r="Q96" s="493"/>
      <c r="R96" s="493"/>
      <c r="S96" s="493"/>
      <c r="T96" s="494"/>
    </row>
    <row r="97" spans="1:20" ht="17.25" customHeight="1">
      <c r="A97" s="78" t="s">
        <v>3</v>
      </c>
      <c r="B97" s="481" t="s">
        <v>40</v>
      </c>
      <c r="C97" s="481"/>
      <c r="D97" s="481"/>
      <c r="E97" s="481"/>
      <c r="F97" s="481"/>
      <c r="G97" s="481"/>
      <c r="H97" s="569">
        <v>2.9999999999999997E-4</v>
      </c>
      <c r="I97" s="569"/>
      <c r="J97" s="569"/>
      <c r="K97" s="80">
        <f t="shared" si="1"/>
        <v>0.49</v>
      </c>
      <c r="M97" s="492"/>
      <c r="N97" s="493"/>
      <c r="O97" s="493"/>
      <c r="P97" s="493"/>
      <c r="Q97" s="493"/>
      <c r="R97" s="493"/>
      <c r="S97" s="493"/>
      <c r="T97" s="494"/>
    </row>
    <row r="98" spans="1:20" ht="22.5" customHeight="1">
      <c r="A98" s="78" t="s">
        <v>5</v>
      </c>
      <c r="B98" s="568" t="s">
        <v>106</v>
      </c>
      <c r="C98" s="568"/>
      <c r="D98" s="568"/>
      <c r="E98" s="568"/>
      <c r="F98" s="568"/>
      <c r="G98" s="568"/>
      <c r="H98" s="569">
        <v>3.44E-2</v>
      </c>
      <c r="I98" s="569"/>
      <c r="J98" s="569"/>
      <c r="K98" s="80">
        <f t="shared" si="1"/>
        <v>55.83</v>
      </c>
      <c r="M98" s="492"/>
      <c r="N98" s="493"/>
      <c r="O98" s="493"/>
      <c r="P98" s="493"/>
      <c r="Q98" s="493"/>
      <c r="R98" s="493"/>
      <c r="S98" s="493"/>
      <c r="T98" s="494"/>
    </row>
    <row r="99" spans="1:20" ht="17.25" customHeight="1">
      <c r="A99" s="78" t="s">
        <v>6</v>
      </c>
      <c r="B99" s="481" t="s">
        <v>41</v>
      </c>
      <c r="C99" s="481"/>
      <c r="D99" s="481"/>
      <c r="E99" s="481"/>
      <c r="F99" s="481"/>
      <c r="G99" s="481"/>
      <c r="H99" s="569">
        <v>1.9400000000000001E-2</v>
      </c>
      <c r="I99" s="569"/>
      <c r="J99" s="569"/>
      <c r="K99" s="80">
        <f t="shared" si="1"/>
        <v>31.49</v>
      </c>
      <c r="M99" s="492"/>
      <c r="N99" s="493"/>
      <c r="O99" s="493"/>
      <c r="P99" s="493"/>
      <c r="Q99" s="493"/>
      <c r="R99" s="493"/>
      <c r="S99" s="493"/>
      <c r="T99" s="494"/>
    </row>
    <row r="100" spans="1:20" ht="17.25" customHeight="1">
      <c r="A100" s="78" t="s">
        <v>8</v>
      </c>
      <c r="B100" s="481" t="s">
        <v>42</v>
      </c>
      <c r="C100" s="481"/>
      <c r="D100" s="481"/>
      <c r="E100" s="481"/>
      <c r="F100" s="481"/>
      <c r="G100" s="481"/>
      <c r="H100" s="569">
        <v>7.7212000000000018E-3</v>
      </c>
      <c r="I100" s="569"/>
      <c r="J100" s="569"/>
      <c r="K100" s="80">
        <f t="shared" si="1"/>
        <v>12.53</v>
      </c>
      <c r="M100" s="495"/>
      <c r="N100" s="496"/>
      <c r="O100" s="496"/>
      <c r="P100" s="496"/>
      <c r="Q100" s="496"/>
      <c r="R100" s="496"/>
      <c r="S100" s="496"/>
      <c r="T100" s="497"/>
    </row>
    <row r="101" spans="1:20" ht="24" customHeight="1">
      <c r="A101" s="78" t="s">
        <v>10</v>
      </c>
      <c r="B101" s="568" t="s">
        <v>107</v>
      </c>
      <c r="C101" s="568"/>
      <c r="D101" s="568"/>
      <c r="E101" s="568"/>
      <c r="F101" s="568"/>
      <c r="G101" s="568"/>
      <c r="H101" s="569">
        <v>2.4707840000000005E-4</v>
      </c>
      <c r="I101" s="569"/>
      <c r="J101" s="569"/>
      <c r="K101" s="80">
        <f t="shared" si="1"/>
        <v>0.4</v>
      </c>
      <c r="M101" s="489" t="s">
        <v>111</v>
      </c>
      <c r="N101" s="490"/>
      <c r="O101" s="490"/>
      <c r="P101" s="490"/>
      <c r="Q101" s="490"/>
      <c r="R101" s="490"/>
      <c r="S101" s="490"/>
      <c r="T101" s="491"/>
    </row>
    <row r="102" spans="1:20" ht="17.25" customHeight="1">
      <c r="A102" s="483" t="s">
        <v>43</v>
      </c>
      <c r="B102" s="483"/>
      <c r="C102" s="483"/>
      <c r="D102" s="483"/>
      <c r="E102" s="483"/>
      <c r="F102" s="483"/>
      <c r="G102" s="483"/>
      <c r="H102" s="570">
        <f>SUM(H96:J101)</f>
        <v>6.6668278400000003E-2</v>
      </c>
      <c r="I102" s="483"/>
      <c r="J102" s="483"/>
      <c r="K102" s="11">
        <f>ROUND(SUM(K96:K101),2)</f>
        <v>108.21</v>
      </c>
      <c r="M102" s="495"/>
      <c r="N102" s="496"/>
      <c r="O102" s="496"/>
      <c r="P102" s="496"/>
      <c r="Q102" s="496"/>
      <c r="R102" s="496"/>
      <c r="S102" s="496"/>
      <c r="T102" s="497"/>
    </row>
    <row r="103" spans="1:20" ht="6.75" customHeight="1">
      <c r="A103" s="476"/>
      <c r="B103" s="476"/>
      <c r="C103" s="476"/>
      <c r="D103" s="476"/>
      <c r="E103" s="476"/>
      <c r="F103" s="476"/>
      <c r="G103" s="476"/>
      <c r="H103" s="476"/>
      <c r="I103" s="476"/>
      <c r="J103" s="476"/>
      <c r="K103" s="476"/>
      <c r="M103" s="489" t="s">
        <v>245</v>
      </c>
      <c r="N103" s="490"/>
      <c r="O103" s="490"/>
      <c r="P103" s="490"/>
      <c r="Q103" s="490"/>
      <c r="R103" s="490"/>
      <c r="S103" s="490"/>
      <c r="T103" s="491"/>
    </row>
    <row r="104" spans="1:20" ht="17.25" customHeight="1">
      <c r="A104" s="483" t="s">
        <v>44</v>
      </c>
      <c r="B104" s="483"/>
      <c r="C104" s="483"/>
      <c r="D104" s="483"/>
      <c r="E104" s="483"/>
      <c r="F104" s="483"/>
      <c r="G104" s="483"/>
      <c r="H104" s="483"/>
      <c r="I104" s="483"/>
      <c r="J104" s="483"/>
      <c r="K104" s="483"/>
      <c r="M104" s="492"/>
      <c r="N104" s="493"/>
      <c r="O104" s="493"/>
      <c r="P104" s="493"/>
      <c r="Q104" s="493"/>
      <c r="R104" s="493"/>
      <c r="S104" s="493"/>
      <c r="T104" s="494"/>
    </row>
    <row r="105" spans="1:20" ht="17.25" customHeight="1">
      <c r="A105" s="514" t="s">
        <v>85</v>
      </c>
      <c r="B105" s="514"/>
      <c r="C105" s="514"/>
      <c r="D105" s="514"/>
      <c r="E105" s="514"/>
      <c r="F105" s="514"/>
      <c r="G105" s="514"/>
      <c r="H105" s="514"/>
      <c r="I105" s="514"/>
      <c r="J105" s="514"/>
      <c r="K105" s="514"/>
      <c r="M105" s="492"/>
      <c r="N105" s="493"/>
      <c r="O105" s="493"/>
      <c r="P105" s="493"/>
      <c r="Q105" s="493"/>
      <c r="R105" s="493"/>
      <c r="S105" s="493"/>
      <c r="T105" s="494"/>
    </row>
    <row r="106" spans="1:20" ht="17.25" customHeight="1">
      <c r="A106" s="567" t="s">
        <v>68</v>
      </c>
      <c r="B106" s="567"/>
      <c r="C106" s="567"/>
      <c r="D106" s="567"/>
      <c r="E106" s="567"/>
      <c r="F106" s="567"/>
      <c r="G106" s="567"/>
      <c r="H106" s="567"/>
      <c r="I106" s="567"/>
      <c r="J106" s="567"/>
      <c r="K106" s="11">
        <f>K35</f>
        <v>1358.86</v>
      </c>
      <c r="M106" s="492"/>
      <c r="N106" s="493"/>
      <c r="O106" s="493"/>
      <c r="P106" s="493"/>
      <c r="Q106" s="493"/>
      <c r="R106" s="493"/>
      <c r="S106" s="493"/>
      <c r="T106" s="494"/>
    </row>
    <row r="107" spans="1:20" ht="17.25" customHeight="1">
      <c r="A107" s="567" t="s">
        <v>79</v>
      </c>
      <c r="B107" s="567"/>
      <c r="C107" s="567"/>
      <c r="D107" s="567"/>
      <c r="E107" s="567"/>
      <c r="F107" s="567"/>
      <c r="G107" s="567"/>
      <c r="H107" s="567"/>
      <c r="I107" s="567"/>
      <c r="J107" s="567"/>
      <c r="K107" s="11">
        <f>K43</f>
        <v>264.16000000000003</v>
      </c>
      <c r="M107" s="495"/>
      <c r="N107" s="496"/>
      <c r="O107" s="496"/>
      <c r="P107" s="496"/>
      <c r="Q107" s="496"/>
      <c r="R107" s="496"/>
      <c r="S107" s="496"/>
      <c r="T107" s="497"/>
    </row>
    <row r="108" spans="1:20" ht="17.25" customHeight="1">
      <c r="A108" s="567" t="s">
        <v>80</v>
      </c>
      <c r="B108" s="567"/>
      <c r="C108" s="567"/>
      <c r="D108" s="567"/>
      <c r="E108" s="567"/>
      <c r="F108" s="567"/>
      <c r="G108" s="567"/>
      <c r="H108" s="567"/>
      <c r="I108" s="567"/>
      <c r="J108" s="567"/>
      <c r="K108" s="11">
        <f>SUM(K106:K107)</f>
        <v>1623.02</v>
      </c>
    </row>
    <row r="109" spans="1:20" ht="17.25" customHeight="1">
      <c r="A109" s="528"/>
      <c r="B109" s="528"/>
      <c r="C109" s="528"/>
      <c r="D109" s="528"/>
      <c r="E109" s="528"/>
      <c r="F109" s="528"/>
      <c r="G109" s="528"/>
      <c r="H109" s="483" t="s">
        <v>19</v>
      </c>
      <c r="I109" s="483"/>
      <c r="J109" s="483"/>
      <c r="K109" s="81" t="s">
        <v>20</v>
      </c>
    </row>
    <row r="110" spans="1:20" ht="17.25" customHeight="1">
      <c r="A110" s="78" t="s">
        <v>1</v>
      </c>
      <c r="B110" s="481" t="s">
        <v>86</v>
      </c>
      <c r="C110" s="481"/>
      <c r="D110" s="481"/>
      <c r="E110" s="481"/>
      <c r="F110" s="481"/>
      <c r="G110" s="481"/>
      <c r="H110" s="569">
        <v>8.3299999999999999E-2</v>
      </c>
      <c r="I110" s="569"/>
      <c r="J110" s="569"/>
      <c r="K110" s="80">
        <f>ROUND(H110*$K$108,2)</f>
        <v>135.19999999999999</v>
      </c>
    </row>
    <row r="111" spans="1:20" ht="17.25" customHeight="1">
      <c r="A111" s="484" t="s">
        <v>3</v>
      </c>
      <c r="B111" s="482" t="s">
        <v>87</v>
      </c>
      <c r="C111" s="482"/>
      <c r="D111" s="482"/>
      <c r="E111" s="482"/>
      <c r="F111" s="482"/>
      <c r="G111" s="482"/>
      <c r="H111" s="482"/>
      <c r="I111" s="482"/>
      <c r="J111" s="482"/>
      <c r="K111" s="542">
        <f>ROUND(H112*K108,2)</f>
        <v>26.46</v>
      </c>
      <c r="M111" s="489" t="s">
        <v>112</v>
      </c>
      <c r="N111" s="490"/>
      <c r="O111" s="490"/>
      <c r="P111" s="490"/>
      <c r="Q111" s="490"/>
      <c r="R111" s="490"/>
      <c r="S111" s="490"/>
      <c r="T111" s="491"/>
    </row>
    <row r="112" spans="1:20" ht="17.25" customHeight="1">
      <c r="A112" s="484"/>
      <c r="B112" s="79" t="s">
        <v>88</v>
      </c>
      <c r="C112" s="79"/>
      <c r="D112" s="79"/>
      <c r="E112" s="79"/>
      <c r="F112" s="572">
        <v>5.96</v>
      </c>
      <c r="G112" s="573"/>
      <c r="H112" s="569">
        <v>1.6299999999999999E-2</v>
      </c>
      <c r="I112" s="569"/>
      <c r="J112" s="569"/>
      <c r="K112" s="542"/>
      <c r="M112" s="495"/>
      <c r="N112" s="496"/>
      <c r="O112" s="496"/>
      <c r="P112" s="496"/>
      <c r="Q112" s="496"/>
      <c r="R112" s="496"/>
      <c r="S112" s="496"/>
      <c r="T112" s="497"/>
    </row>
    <row r="113" spans="1:20" ht="17.25" customHeight="1">
      <c r="A113" s="484" t="s">
        <v>5</v>
      </c>
      <c r="B113" s="482" t="s">
        <v>89</v>
      </c>
      <c r="C113" s="482"/>
      <c r="D113" s="482"/>
      <c r="E113" s="482"/>
      <c r="F113" s="482"/>
      <c r="G113" s="482"/>
      <c r="H113" s="482"/>
      <c r="I113" s="482"/>
      <c r="J113" s="482"/>
      <c r="K113" s="542">
        <f>ROUND(H114*K108,2)</f>
        <v>0.24</v>
      </c>
      <c r="M113" s="489" t="s">
        <v>113</v>
      </c>
      <c r="N113" s="490"/>
      <c r="O113" s="490"/>
      <c r="P113" s="490"/>
      <c r="Q113" s="490"/>
      <c r="R113" s="490"/>
      <c r="S113" s="490"/>
      <c r="T113" s="491"/>
    </row>
    <row r="114" spans="1:20" ht="17.25" customHeight="1">
      <c r="A114" s="484"/>
      <c r="B114" s="568" t="s">
        <v>45</v>
      </c>
      <c r="C114" s="568"/>
      <c r="D114" s="568"/>
      <c r="E114" s="568"/>
      <c r="F114" s="568"/>
      <c r="G114" s="568"/>
      <c r="H114" s="571">
        <v>1.4999999999999999E-4</v>
      </c>
      <c r="I114" s="571"/>
      <c r="J114" s="571"/>
      <c r="K114" s="542"/>
      <c r="M114" s="495"/>
      <c r="N114" s="496"/>
      <c r="O114" s="496"/>
      <c r="P114" s="496"/>
      <c r="Q114" s="496"/>
      <c r="R114" s="496"/>
      <c r="S114" s="496"/>
      <c r="T114" s="497"/>
    </row>
    <row r="115" spans="1:20" ht="17.25" customHeight="1">
      <c r="A115" s="484" t="s">
        <v>6</v>
      </c>
      <c r="B115" s="482" t="s">
        <v>90</v>
      </c>
      <c r="C115" s="482"/>
      <c r="D115" s="482"/>
      <c r="E115" s="482"/>
      <c r="F115" s="482"/>
      <c r="G115" s="482"/>
      <c r="H115" s="482"/>
      <c r="I115" s="482"/>
      <c r="J115" s="482"/>
      <c r="K115" s="542">
        <f>ROUND(H116*K108,2)</f>
        <v>5.36</v>
      </c>
      <c r="M115" s="489" t="s">
        <v>114</v>
      </c>
      <c r="N115" s="490"/>
      <c r="O115" s="490"/>
      <c r="P115" s="490"/>
      <c r="Q115" s="490"/>
      <c r="R115" s="490"/>
      <c r="S115" s="490"/>
      <c r="T115" s="491"/>
    </row>
    <row r="116" spans="1:20" ht="15" customHeight="1">
      <c r="A116" s="484"/>
      <c r="B116" s="568" t="s">
        <v>45</v>
      </c>
      <c r="C116" s="568"/>
      <c r="D116" s="568"/>
      <c r="E116" s="568"/>
      <c r="F116" s="568"/>
      <c r="G116" s="568"/>
      <c r="H116" s="569">
        <v>3.3E-3</v>
      </c>
      <c r="I116" s="569"/>
      <c r="J116" s="569"/>
      <c r="K116" s="542"/>
      <c r="M116" s="492"/>
      <c r="N116" s="493"/>
      <c r="O116" s="493"/>
      <c r="P116" s="493"/>
      <c r="Q116" s="493"/>
      <c r="R116" s="493"/>
      <c r="S116" s="493"/>
      <c r="T116" s="494"/>
    </row>
    <row r="117" spans="1:20" ht="18" customHeight="1">
      <c r="A117" s="484" t="s">
        <v>8</v>
      </c>
      <c r="B117" s="482" t="s">
        <v>91</v>
      </c>
      <c r="C117" s="482"/>
      <c r="D117" s="482"/>
      <c r="E117" s="482"/>
      <c r="F117" s="482"/>
      <c r="G117" s="482"/>
      <c r="H117" s="482"/>
      <c r="I117" s="482"/>
      <c r="J117" s="482"/>
      <c r="K117" s="542">
        <f>ROUND(H118*K108,2)</f>
        <v>0.89</v>
      </c>
      <c r="M117" s="492"/>
      <c r="N117" s="493"/>
      <c r="O117" s="493"/>
      <c r="P117" s="493"/>
      <c r="Q117" s="493"/>
      <c r="R117" s="493"/>
      <c r="S117" s="493"/>
      <c r="T117" s="494"/>
    </row>
    <row r="118" spans="1:20" ht="18" customHeight="1">
      <c r="A118" s="484"/>
      <c r="B118" s="481" t="s">
        <v>46</v>
      </c>
      <c r="C118" s="481"/>
      <c r="D118" s="481"/>
      <c r="E118" s="481"/>
      <c r="F118" s="481"/>
      <c r="G118" s="481"/>
      <c r="H118" s="571">
        <v>5.5000000000000003E-4</v>
      </c>
      <c r="I118" s="571"/>
      <c r="J118" s="571"/>
      <c r="K118" s="542"/>
      <c r="M118" s="495"/>
      <c r="N118" s="496"/>
      <c r="O118" s="496"/>
      <c r="P118" s="496"/>
      <c r="Q118" s="496"/>
      <c r="R118" s="496"/>
      <c r="S118" s="496"/>
      <c r="T118" s="497"/>
    </row>
    <row r="119" spans="1:20" ht="18" customHeight="1">
      <c r="A119" s="78" t="s">
        <v>10</v>
      </c>
      <c r="B119" s="499" t="s">
        <v>104</v>
      </c>
      <c r="C119" s="499"/>
      <c r="D119" s="499"/>
      <c r="E119" s="499"/>
      <c r="F119" s="499"/>
      <c r="G119" s="499"/>
      <c r="H119" s="499"/>
      <c r="I119" s="499"/>
      <c r="J119" s="499"/>
      <c r="K119" s="89"/>
      <c r="M119" s="489" t="s">
        <v>115</v>
      </c>
      <c r="N119" s="490"/>
      <c r="O119" s="490"/>
      <c r="P119" s="490"/>
      <c r="Q119" s="490"/>
      <c r="R119" s="490"/>
      <c r="S119" s="490"/>
      <c r="T119" s="491"/>
    </row>
    <row r="120" spans="1:20" ht="18" customHeight="1">
      <c r="A120" s="78"/>
      <c r="B120" s="575" t="s">
        <v>47</v>
      </c>
      <c r="C120" s="575"/>
      <c r="D120" s="575"/>
      <c r="E120" s="575"/>
      <c r="F120" s="575"/>
      <c r="G120" s="575"/>
      <c r="H120" s="576">
        <f>SUM(H110,H112,H114,H116,H118)</f>
        <v>0.10359999999999998</v>
      </c>
      <c r="I120" s="576"/>
      <c r="J120" s="576"/>
      <c r="K120" s="13">
        <f>SUM(K110:K119)</f>
        <v>168.15</v>
      </c>
      <c r="M120" s="495"/>
      <c r="N120" s="496"/>
      <c r="O120" s="496"/>
      <c r="P120" s="496"/>
      <c r="Q120" s="496"/>
      <c r="R120" s="496"/>
      <c r="S120" s="496"/>
      <c r="T120" s="497"/>
    </row>
    <row r="121" spans="1:20" ht="18" customHeight="1">
      <c r="A121" s="78" t="s">
        <v>11</v>
      </c>
      <c r="B121" s="484" t="s">
        <v>48</v>
      </c>
      <c r="C121" s="484"/>
      <c r="D121" s="484"/>
      <c r="E121" s="484"/>
      <c r="F121" s="484"/>
      <c r="G121" s="484"/>
      <c r="H121" s="576">
        <f>H120*I59</f>
        <v>4.12328E-2</v>
      </c>
      <c r="I121" s="576"/>
      <c r="J121" s="576"/>
      <c r="K121" s="80">
        <f>ROUND(H121*K108,2)</f>
        <v>66.92</v>
      </c>
      <c r="M121" s="28"/>
      <c r="N121" s="28"/>
      <c r="O121" s="28"/>
      <c r="P121" s="28"/>
      <c r="Q121" s="28"/>
      <c r="R121" s="28"/>
      <c r="S121" s="28"/>
      <c r="T121" s="28"/>
    </row>
    <row r="122" spans="1:20" ht="18" customHeight="1">
      <c r="A122" s="514" t="s">
        <v>49</v>
      </c>
      <c r="B122" s="514"/>
      <c r="C122" s="514"/>
      <c r="D122" s="514"/>
      <c r="E122" s="514"/>
      <c r="F122" s="514"/>
      <c r="G122" s="514"/>
      <c r="H122" s="515">
        <f>SUM(H120:J121)</f>
        <v>0.14483279999999998</v>
      </c>
      <c r="I122" s="514"/>
      <c r="J122" s="514"/>
      <c r="K122" s="12">
        <f>SUM(K120:K121)</f>
        <v>235.07</v>
      </c>
      <c r="M122" s="28"/>
      <c r="N122" s="29"/>
      <c r="O122" s="29"/>
      <c r="P122" s="29"/>
      <c r="Q122" s="29"/>
      <c r="R122" s="29"/>
      <c r="S122" s="29"/>
      <c r="T122" s="29"/>
    </row>
    <row r="123" spans="1:20" s="2" customFormat="1" ht="5.25" customHeight="1">
      <c r="A123" s="574"/>
      <c r="B123" s="574"/>
      <c r="C123" s="574"/>
      <c r="D123" s="574"/>
      <c r="E123" s="574"/>
      <c r="F123" s="574"/>
      <c r="G123" s="574"/>
      <c r="H123" s="574"/>
      <c r="I123" s="574"/>
      <c r="J123" s="574"/>
      <c r="K123" s="574"/>
      <c r="M123" s="22"/>
      <c r="N123" s="22"/>
      <c r="O123" s="22"/>
      <c r="P123" s="22"/>
      <c r="Q123" s="22"/>
      <c r="R123" s="22"/>
      <c r="S123" s="22"/>
      <c r="T123" s="22"/>
    </row>
    <row r="124" spans="1:20" ht="17.25" customHeight="1">
      <c r="A124" s="575" t="s">
        <v>92</v>
      </c>
      <c r="B124" s="575"/>
      <c r="C124" s="575"/>
      <c r="D124" s="575"/>
      <c r="E124" s="575"/>
      <c r="F124" s="575"/>
      <c r="G124" s="575"/>
      <c r="H124" s="575"/>
      <c r="I124" s="575"/>
      <c r="J124" s="575"/>
      <c r="K124" s="575"/>
    </row>
    <row r="125" spans="1:20" ht="17.25" customHeight="1">
      <c r="A125" s="528"/>
      <c r="B125" s="528"/>
      <c r="C125" s="528"/>
      <c r="D125" s="528"/>
      <c r="E125" s="528"/>
      <c r="F125" s="528"/>
      <c r="G125" s="528"/>
      <c r="H125" s="528"/>
      <c r="I125" s="528"/>
      <c r="J125" s="528"/>
      <c r="K125" s="81" t="s">
        <v>20</v>
      </c>
    </row>
    <row r="126" spans="1:20" ht="17.25" customHeight="1">
      <c r="A126" s="78" t="s">
        <v>1</v>
      </c>
      <c r="B126" s="482" t="s">
        <v>93</v>
      </c>
      <c r="C126" s="482"/>
      <c r="D126" s="482"/>
      <c r="E126" s="482"/>
      <c r="F126" s="482"/>
      <c r="G126" s="482"/>
      <c r="H126" s="482"/>
      <c r="I126" s="482"/>
      <c r="J126" s="482"/>
      <c r="K126" s="80">
        <v>0</v>
      </c>
    </row>
    <row r="127" spans="1:20" ht="17.25" customHeight="1">
      <c r="A127" s="514" t="s">
        <v>50</v>
      </c>
      <c r="B127" s="514"/>
      <c r="C127" s="514"/>
      <c r="D127" s="514"/>
      <c r="E127" s="514"/>
      <c r="F127" s="514"/>
      <c r="G127" s="514"/>
      <c r="H127" s="514"/>
      <c r="I127" s="514"/>
      <c r="J127" s="514"/>
      <c r="K127" s="12">
        <f>K126</f>
        <v>0</v>
      </c>
    </row>
    <row r="128" spans="1:20" ht="5.25" customHeight="1">
      <c r="A128" s="583"/>
      <c r="B128" s="583"/>
      <c r="C128" s="583"/>
      <c r="D128" s="583"/>
      <c r="E128" s="583"/>
      <c r="F128" s="583"/>
      <c r="G128" s="583"/>
      <c r="H128" s="583"/>
      <c r="I128" s="583"/>
      <c r="J128" s="583"/>
      <c r="K128" s="583"/>
    </row>
    <row r="129" spans="1:20" ht="17.25" customHeight="1">
      <c r="A129" s="483" t="s">
        <v>51</v>
      </c>
      <c r="B129" s="483"/>
      <c r="C129" s="483"/>
      <c r="D129" s="483"/>
      <c r="E129" s="483"/>
      <c r="F129" s="483"/>
      <c r="G129" s="483"/>
      <c r="H129" s="483"/>
      <c r="I129" s="483"/>
      <c r="J129" s="483"/>
      <c r="K129" s="11">
        <f>SUM(K122,K127)</f>
        <v>235.07</v>
      </c>
    </row>
    <row r="130" spans="1:20" ht="6.75" customHeight="1">
      <c r="A130" s="476"/>
      <c r="B130" s="476"/>
      <c r="C130" s="476"/>
      <c r="D130" s="476"/>
      <c r="E130" s="476"/>
      <c r="F130" s="476"/>
      <c r="G130" s="476"/>
      <c r="H130" s="476"/>
      <c r="I130" s="476"/>
      <c r="J130" s="476"/>
      <c r="K130" s="476"/>
    </row>
    <row r="131" spans="1:20" ht="17.25" customHeight="1">
      <c r="A131" s="483" t="s">
        <v>52</v>
      </c>
      <c r="B131" s="483"/>
      <c r="C131" s="483"/>
      <c r="D131" s="483"/>
      <c r="E131" s="483"/>
      <c r="F131" s="483"/>
      <c r="G131" s="483"/>
      <c r="H131" s="483"/>
      <c r="I131" s="483"/>
      <c r="J131" s="483"/>
      <c r="K131" s="483"/>
    </row>
    <row r="132" spans="1:20" ht="17.25" customHeight="1">
      <c r="A132" s="78" t="s">
        <v>1</v>
      </c>
      <c r="B132" s="482" t="s">
        <v>188</v>
      </c>
      <c r="C132" s="482"/>
      <c r="D132" s="482"/>
      <c r="E132" s="482"/>
      <c r="F132" s="482"/>
      <c r="G132" s="482"/>
      <c r="H132" s="482"/>
      <c r="I132" s="482"/>
      <c r="J132" s="482"/>
      <c r="K132" s="14">
        <v>35.727499999999999</v>
      </c>
    </row>
    <row r="133" spans="1:20" ht="17.25" customHeight="1">
      <c r="A133" s="78" t="s">
        <v>3</v>
      </c>
      <c r="B133" s="84" t="s">
        <v>189</v>
      </c>
      <c r="C133" s="84"/>
      <c r="D133" s="84"/>
      <c r="E133" s="84"/>
      <c r="F133" s="577" t="s">
        <v>190</v>
      </c>
      <c r="G133" s="578"/>
      <c r="H133" s="578"/>
      <c r="I133" s="579"/>
      <c r="J133" s="63">
        <v>0.12</v>
      </c>
      <c r="K133" s="14">
        <f>(K35+K89+K102+K129+K132)*J133</f>
        <v>387.15809999999999</v>
      </c>
    </row>
    <row r="134" spans="1:20" ht="17.25" customHeight="1">
      <c r="A134" s="78" t="s">
        <v>5</v>
      </c>
      <c r="B134" s="499" t="s">
        <v>22</v>
      </c>
      <c r="C134" s="499"/>
      <c r="D134" s="499"/>
      <c r="E134" s="499"/>
      <c r="F134" s="499"/>
      <c r="G134" s="499"/>
      <c r="H134" s="499"/>
      <c r="I134" s="499"/>
      <c r="J134" s="499"/>
      <c r="K134" s="89"/>
    </row>
    <row r="135" spans="1:20" ht="17.25" customHeight="1">
      <c r="A135" s="483" t="s">
        <v>53</v>
      </c>
      <c r="B135" s="483"/>
      <c r="C135" s="483"/>
      <c r="D135" s="483"/>
      <c r="E135" s="483"/>
      <c r="F135" s="483"/>
      <c r="G135" s="483"/>
      <c r="H135" s="483"/>
      <c r="I135" s="483"/>
      <c r="J135" s="483"/>
      <c r="K135" s="15">
        <f>SUM(K132:K134)</f>
        <v>422.88560000000001</v>
      </c>
    </row>
    <row r="136" spans="1:20" s="5" customFormat="1" ht="17.25" customHeight="1">
      <c r="A136" s="580"/>
      <c r="B136" s="581"/>
      <c r="C136" s="581"/>
      <c r="D136" s="581"/>
      <c r="E136" s="581"/>
      <c r="F136" s="581"/>
      <c r="G136" s="581"/>
      <c r="H136" s="581"/>
      <c r="I136" s="581"/>
      <c r="J136" s="581"/>
      <c r="K136" s="582"/>
      <c r="M136" s="22"/>
      <c r="N136" s="22"/>
      <c r="O136" s="22"/>
      <c r="P136" s="22"/>
      <c r="Q136" s="22"/>
      <c r="R136" s="22"/>
      <c r="S136" s="22"/>
      <c r="T136" s="22"/>
    </row>
    <row r="137" spans="1:20" ht="17.25" customHeight="1">
      <c r="A137" s="483" t="s">
        <v>94</v>
      </c>
      <c r="B137" s="483"/>
      <c r="C137" s="483"/>
      <c r="D137" s="483"/>
      <c r="E137" s="483"/>
      <c r="F137" s="483"/>
      <c r="G137" s="483"/>
      <c r="H137" s="483"/>
      <c r="I137" s="483"/>
      <c r="J137" s="483"/>
      <c r="K137" s="11">
        <f>SUM(K35,K89,K102,K129,K135)</f>
        <v>3613.4756000000002</v>
      </c>
      <c r="M137" s="30"/>
    </row>
    <row r="138" spans="1:20" s="5" customFormat="1" ht="17.25" customHeight="1">
      <c r="A138" s="580"/>
      <c r="B138" s="581"/>
      <c r="C138" s="581"/>
      <c r="D138" s="581"/>
      <c r="E138" s="581"/>
      <c r="F138" s="581"/>
      <c r="G138" s="581"/>
      <c r="H138" s="581"/>
      <c r="I138" s="581"/>
      <c r="J138" s="581"/>
      <c r="K138" s="582"/>
      <c r="M138" s="22"/>
      <c r="N138" s="22"/>
      <c r="O138" s="22"/>
      <c r="P138" s="22"/>
      <c r="Q138" s="22"/>
      <c r="R138" s="22"/>
      <c r="S138" s="22"/>
      <c r="T138" s="22"/>
    </row>
    <row r="139" spans="1:20" ht="6.75" customHeight="1">
      <c r="A139" s="476"/>
      <c r="B139" s="476"/>
      <c r="C139" s="476"/>
      <c r="D139" s="476"/>
      <c r="E139" s="476"/>
      <c r="F139" s="476"/>
      <c r="G139" s="476"/>
      <c r="H139" s="476"/>
      <c r="I139" s="476"/>
      <c r="J139" s="476"/>
      <c r="K139" s="476"/>
    </row>
    <row r="140" spans="1:20" ht="17.25" customHeight="1">
      <c r="A140" s="483" t="s">
        <v>54</v>
      </c>
      <c r="B140" s="483"/>
      <c r="C140" s="483"/>
      <c r="D140" s="483"/>
      <c r="E140" s="483"/>
      <c r="F140" s="483"/>
      <c r="G140" s="483"/>
      <c r="H140" s="483"/>
      <c r="I140" s="483"/>
      <c r="J140" s="483"/>
      <c r="K140" s="483"/>
    </row>
    <row r="141" spans="1:20" ht="17.25" customHeight="1">
      <c r="A141" s="528"/>
      <c r="B141" s="528"/>
      <c r="C141" s="528"/>
      <c r="D141" s="528"/>
      <c r="E141" s="528"/>
      <c r="F141" s="528"/>
      <c r="G141" s="483" t="s">
        <v>25</v>
      </c>
      <c r="H141" s="483"/>
      <c r="I141" s="584" t="s">
        <v>55</v>
      </c>
      <c r="J141" s="584"/>
      <c r="K141" s="81" t="s">
        <v>20</v>
      </c>
    </row>
    <row r="142" spans="1:20" ht="17.25" customHeight="1">
      <c r="A142" s="78" t="s">
        <v>1</v>
      </c>
      <c r="B142" s="482" t="s">
        <v>56</v>
      </c>
      <c r="C142" s="482"/>
      <c r="D142" s="482"/>
      <c r="E142" s="482"/>
      <c r="F142" s="482"/>
      <c r="G142" s="585">
        <v>0.03</v>
      </c>
      <c r="H142" s="585"/>
      <c r="I142" s="542">
        <f>SUM(K35,K89,K102,K129,K135)</f>
        <v>3613.4756000000002</v>
      </c>
      <c r="J142" s="542"/>
      <c r="K142" s="80">
        <f>ROUND(I142*G142,2)</f>
        <v>108.4</v>
      </c>
      <c r="M142" s="489" t="s">
        <v>183</v>
      </c>
      <c r="N142" s="490"/>
      <c r="O142" s="490"/>
      <c r="P142" s="490"/>
      <c r="Q142" s="490"/>
      <c r="R142" s="490"/>
      <c r="S142" s="490"/>
      <c r="T142" s="491"/>
    </row>
    <row r="143" spans="1:20" ht="17.25" customHeight="1">
      <c r="A143" s="78" t="s">
        <v>3</v>
      </c>
      <c r="B143" s="482" t="s">
        <v>57</v>
      </c>
      <c r="C143" s="482"/>
      <c r="D143" s="482"/>
      <c r="E143" s="482"/>
      <c r="F143" s="482"/>
      <c r="G143" s="585">
        <v>6.7900000000000002E-2</v>
      </c>
      <c r="H143" s="585"/>
      <c r="I143" s="542">
        <f>I142+K142</f>
        <v>3721.8756000000003</v>
      </c>
      <c r="J143" s="542"/>
      <c r="K143" s="80">
        <f>ROUND(I143*G143,2)</f>
        <v>252.72</v>
      </c>
      <c r="M143" s="495"/>
      <c r="N143" s="496"/>
      <c r="O143" s="496"/>
      <c r="P143" s="496"/>
      <c r="Q143" s="496"/>
      <c r="R143" s="496"/>
      <c r="S143" s="496"/>
      <c r="T143" s="497"/>
    </row>
    <row r="144" spans="1:20" ht="17.25" customHeight="1">
      <c r="A144" s="484" t="s">
        <v>5</v>
      </c>
      <c r="B144" s="484" t="s">
        <v>58</v>
      </c>
      <c r="C144" s="484"/>
      <c r="D144" s="484" t="s">
        <v>59</v>
      </c>
      <c r="E144" s="484"/>
      <c r="F144" s="78" t="s">
        <v>60</v>
      </c>
      <c r="G144" s="585">
        <v>6.4999999999999997E-3</v>
      </c>
      <c r="H144" s="585"/>
      <c r="I144" s="542">
        <f>I143+K143</f>
        <v>3974.5956000000001</v>
      </c>
      <c r="J144" s="542"/>
      <c r="K144" s="80">
        <f>ROUND(($I$144/(1-$G$151)*G144),2)</f>
        <v>27.97</v>
      </c>
      <c r="M144" s="489" t="s">
        <v>116</v>
      </c>
      <c r="N144" s="490"/>
      <c r="O144" s="490"/>
      <c r="P144" s="490"/>
      <c r="Q144" s="490"/>
      <c r="R144" s="490"/>
      <c r="S144" s="490"/>
      <c r="T144" s="491"/>
    </row>
    <row r="145" spans="1:20" ht="17.25" customHeight="1">
      <c r="A145" s="484"/>
      <c r="B145" s="484"/>
      <c r="C145" s="484"/>
      <c r="D145" s="484"/>
      <c r="E145" s="484"/>
      <c r="F145" s="78" t="s">
        <v>61</v>
      </c>
      <c r="G145" s="585">
        <v>0.03</v>
      </c>
      <c r="H145" s="585"/>
      <c r="I145" s="542"/>
      <c r="J145" s="542"/>
      <c r="K145" s="80">
        <f>ROUND(($I$144/(1-$G$151)*G145),2)</f>
        <v>129.12</v>
      </c>
      <c r="M145" s="589" t="s">
        <v>117</v>
      </c>
      <c r="N145" s="590"/>
      <c r="O145" s="590"/>
      <c r="P145" s="590"/>
      <c r="Q145" s="590"/>
      <c r="R145" s="590"/>
      <c r="S145" s="590"/>
      <c r="T145" s="591"/>
    </row>
    <row r="146" spans="1:20" ht="17.25" customHeight="1">
      <c r="A146" s="484"/>
      <c r="B146" s="484"/>
      <c r="C146" s="484"/>
      <c r="D146" s="484"/>
      <c r="E146" s="484"/>
      <c r="F146" s="87" t="s">
        <v>62</v>
      </c>
      <c r="G146" s="585"/>
      <c r="H146" s="585"/>
      <c r="I146" s="542"/>
      <c r="J146" s="542"/>
      <c r="K146" s="80">
        <f>ROUND(($I$144/(1-$G$151)*G146),2)</f>
        <v>0</v>
      </c>
      <c r="M146" s="589" t="s">
        <v>184</v>
      </c>
      <c r="N146" s="590"/>
      <c r="O146" s="590"/>
      <c r="P146" s="590"/>
      <c r="Q146" s="590"/>
      <c r="R146" s="590"/>
      <c r="S146" s="590"/>
      <c r="T146" s="591"/>
    </row>
    <row r="147" spans="1:20" ht="17.25" customHeight="1">
      <c r="A147" s="484"/>
      <c r="B147" s="484"/>
      <c r="C147" s="484"/>
      <c r="D147" s="484" t="s">
        <v>63</v>
      </c>
      <c r="E147" s="484"/>
      <c r="F147" s="78" t="s">
        <v>64</v>
      </c>
      <c r="G147" s="569">
        <v>0.04</v>
      </c>
      <c r="H147" s="569"/>
      <c r="I147" s="542"/>
      <c r="J147" s="542"/>
      <c r="K147" s="542">
        <f>ROUND(($I$144/(1-$G$151)*G147),2)</f>
        <v>172.15</v>
      </c>
    </row>
    <row r="148" spans="1:20" ht="17.25" customHeight="1">
      <c r="A148" s="484"/>
      <c r="B148" s="484"/>
      <c r="C148" s="484"/>
      <c r="D148" s="484"/>
      <c r="E148" s="484"/>
      <c r="F148" s="16" t="str">
        <f>K11</f>
        <v>Araçatuba / SP</v>
      </c>
      <c r="G148" s="569"/>
      <c r="H148" s="569"/>
      <c r="I148" s="542"/>
      <c r="J148" s="542"/>
      <c r="K148" s="542"/>
    </row>
    <row r="149" spans="1:20" ht="17.25" customHeight="1">
      <c r="A149" s="484"/>
      <c r="B149" s="484"/>
      <c r="C149" s="484"/>
      <c r="D149" s="484"/>
      <c r="E149" s="484"/>
      <c r="F149" s="87" t="s">
        <v>62</v>
      </c>
      <c r="G149" s="585"/>
      <c r="H149" s="585"/>
      <c r="I149" s="542"/>
      <c r="J149" s="542"/>
      <c r="K149" s="80">
        <f>ROUND(($I$144/(1-$G$151)*G149),2)</f>
        <v>0</v>
      </c>
    </row>
    <row r="150" spans="1:20" ht="17.25" customHeight="1">
      <c r="A150" s="484"/>
      <c r="B150" s="484"/>
      <c r="C150" s="484"/>
      <c r="D150" s="544" t="s">
        <v>65</v>
      </c>
      <c r="E150" s="544"/>
      <c r="F150" s="87"/>
      <c r="G150" s="585"/>
      <c r="H150" s="585"/>
      <c r="I150" s="542"/>
      <c r="J150" s="542"/>
      <c r="K150" s="80">
        <f>ROUND(($I$144/(1-$G$151)*G150),2)</f>
        <v>0</v>
      </c>
    </row>
    <row r="151" spans="1:20" ht="17.25" customHeight="1">
      <c r="A151" s="484"/>
      <c r="B151" s="575" t="s">
        <v>66</v>
      </c>
      <c r="C151" s="575"/>
      <c r="D151" s="575"/>
      <c r="E151" s="575"/>
      <c r="F151" s="575"/>
      <c r="G151" s="586">
        <f>SUM(G144:H150)</f>
        <v>7.6499999999999999E-2</v>
      </c>
      <c r="H151" s="586"/>
      <c r="I151" s="587"/>
      <c r="J151" s="587"/>
      <c r="K151" s="17"/>
      <c r="M151" s="31"/>
    </row>
    <row r="152" spans="1:20" ht="17.25" customHeight="1">
      <c r="A152" s="483" t="s">
        <v>67</v>
      </c>
      <c r="B152" s="483"/>
      <c r="C152" s="483"/>
      <c r="D152" s="483"/>
      <c r="E152" s="483"/>
      <c r="F152" s="483"/>
      <c r="G152" s="483"/>
      <c r="H152" s="483"/>
      <c r="I152" s="588">
        <f>((1+G142)*(1+G143))/(1-G151)-1</f>
        <v>0.19105251759610198</v>
      </c>
      <c r="J152" s="588"/>
      <c r="K152" s="11">
        <f>ROUND(SUM(K142:K150),2)</f>
        <v>690.36</v>
      </c>
    </row>
    <row r="153" spans="1:20" ht="6" customHeight="1">
      <c r="A153" s="480"/>
      <c r="B153" s="480"/>
      <c r="C153" s="480"/>
      <c r="D153" s="480"/>
      <c r="E153" s="480"/>
      <c r="F153" s="480"/>
      <c r="G153" s="480"/>
      <c r="H153" s="480"/>
      <c r="I153" s="480"/>
      <c r="J153" s="480"/>
      <c r="K153" s="480"/>
    </row>
    <row r="154" spans="1:20" ht="19.5" customHeight="1">
      <c r="A154" s="592" t="s">
        <v>105</v>
      </c>
      <c r="B154" s="592"/>
      <c r="C154" s="592"/>
      <c r="D154" s="592"/>
      <c r="E154" s="592"/>
      <c r="F154" s="592"/>
      <c r="G154" s="592"/>
      <c r="H154" s="592"/>
      <c r="I154" s="592"/>
      <c r="J154" s="592"/>
      <c r="K154" s="86" t="s">
        <v>20</v>
      </c>
    </row>
    <row r="155" spans="1:20" ht="17.25" customHeight="1">
      <c r="A155" s="78" t="s">
        <v>1</v>
      </c>
      <c r="B155" s="482" t="s">
        <v>68</v>
      </c>
      <c r="C155" s="482"/>
      <c r="D155" s="482"/>
      <c r="E155" s="482"/>
      <c r="F155" s="482"/>
      <c r="G155" s="482"/>
      <c r="H155" s="482"/>
      <c r="I155" s="482"/>
      <c r="J155" s="482"/>
      <c r="K155" s="80">
        <f>K35</f>
        <v>1358.86</v>
      </c>
    </row>
    <row r="156" spans="1:20" ht="17.25" customHeight="1">
      <c r="A156" s="78" t="s">
        <v>3</v>
      </c>
      <c r="B156" s="482" t="s">
        <v>69</v>
      </c>
      <c r="C156" s="482"/>
      <c r="D156" s="482"/>
      <c r="E156" s="482"/>
      <c r="F156" s="482"/>
      <c r="G156" s="482"/>
      <c r="H156" s="482"/>
      <c r="I156" s="482"/>
      <c r="J156" s="482"/>
      <c r="K156" s="80">
        <f>K89</f>
        <v>1488.45</v>
      </c>
    </row>
    <row r="157" spans="1:20" ht="17.25" customHeight="1">
      <c r="A157" s="78" t="s">
        <v>5</v>
      </c>
      <c r="B157" s="482" t="s">
        <v>70</v>
      </c>
      <c r="C157" s="482"/>
      <c r="D157" s="482"/>
      <c r="E157" s="482"/>
      <c r="F157" s="482"/>
      <c r="G157" s="482"/>
      <c r="H157" s="482"/>
      <c r="I157" s="482"/>
      <c r="J157" s="482"/>
      <c r="K157" s="80">
        <f>K102</f>
        <v>108.21</v>
      </c>
    </row>
    <row r="158" spans="1:20" ht="17.25" customHeight="1">
      <c r="A158" s="78" t="s">
        <v>6</v>
      </c>
      <c r="B158" s="482" t="s">
        <v>71</v>
      </c>
      <c r="C158" s="482"/>
      <c r="D158" s="482"/>
      <c r="E158" s="482"/>
      <c r="F158" s="482"/>
      <c r="G158" s="482"/>
      <c r="H158" s="482"/>
      <c r="I158" s="482"/>
      <c r="J158" s="482"/>
      <c r="K158" s="80">
        <f>K129</f>
        <v>235.07</v>
      </c>
    </row>
    <row r="159" spans="1:20" ht="17.25" customHeight="1">
      <c r="A159" s="78" t="s">
        <v>8</v>
      </c>
      <c r="B159" s="482" t="s">
        <v>72</v>
      </c>
      <c r="C159" s="482"/>
      <c r="D159" s="482"/>
      <c r="E159" s="482"/>
      <c r="F159" s="482"/>
      <c r="G159" s="482"/>
      <c r="H159" s="482"/>
      <c r="I159" s="482"/>
      <c r="J159" s="482"/>
      <c r="K159" s="80">
        <f>K135</f>
        <v>422.88560000000001</v>
      </c>
    </row>
    <row r="160" spans="1:20" ht="17.25" customHeight="1">
      <c r="A160" s="78" t="s">
        <v>10</v>
      </c>
      <c r="B160" s="482" t="s">
        <v>73</v>
      </c>
      <c r="C160" s="482"/>
      <c r="D160" s="482"/>
      <c r="E160" s="482"/>
      <c r="F160" s="482"/>
      <c r="G160" s="482"/>
      <c r="H160" s="482"/>
      <c r="I160" s="482"/>
      <c r="J160" s="482"/>
      <c r="K160" s="80">
        <f>K152</f>
        <v>690.36</v>
      </c>
    </row>
    <row r="161" spans="1:11" ht="18" customHeight="1">
      <c r="A161" s="592" t="s">
        <v>74</v>
      </c>
      <c r="B161" s="592"/>
      <c r="C161" s="592"/>
      <c r="D161" s="592"/>
      <c r="E161" s="592"/>
      <c r="F161" s="592"/>
      <c r="G161" s="592"/>
      <c r="H161" s="592"/>
      <c r="I161" s="592"/>
      <c r="J161" s="592"/>
      <c r="K161" s="18">
        <f>ROUND(SUM(K155:K160),2)</f>
        <v>4303.84</v>
      </c>
    </row>
    <row r="162" spans="1:11" ht="6" customHeight="1">
      <c r="A162" s="480"/>
      <c r="B162" s="480"/>
      <c r="C162" s="480"/>
      <c r="D162" s="480"/>
      <c r="E162" s="480"/>
      <c r="F162" s="480"/>
      <c r="G162" s="480"/>
      <c r="H162" s="480"/>
      <c r="I162" s="480"/>
      <c r="J162" s="480"/>
      <c r="K162" s="480"/>
    </row>
    <row r="164" spans="1:11">
      <c r="I164" s="6"/>
    </row>
  </sheetData>
  <sheetProtection selectLockedCells="1" selectUnlockedCells="1"/>
  <mergeCells count="290">
    <mergeCell ref="B159:J159"/>
    <mergeCell ref="B160:J160"/>
    <mergeCell ref="A161:J161"/>
    <mergeCell ref="A162:K162"/>
    <mergeCell ref="A153:K153"/>
    <mergeCell ref="A154:J154"/>
    <mergeCell ref="B155:J155"/>
    <mergeCell ref="B156:J156"/>
    <mergeCell ref="B157:J157"/>
    <mergeCell ref="B158:J158"/>
    <mergeCell ref="A152:H152"/>
    <mergeCell ref="I152:J152"/>
    <mergeCell ref="G145:H145"/>
    <mergeCell ref="M145:T145"/>
    <mergeCell ref="G146:H146"/>
    <mergeCell ref="M146:T146"/>
    <mergeCell ref="D147:E149"/>
    <mergeCell ref="G147:H148"/>
    <mergeCell ref="K147:K148"/>
    <mergeCell ref="G149:H149"/>
    <mergeCell ref="M142:T143"/>
    <mergeCell ref="B143:F143"/>
    <mergeCell ref="G143:H143"/>
    <mergeCell ref="I143:J143"/>
    <mergeCell ref="A144:A151"/>
    <mergeCell ref="B144:C150"/>
    <mergeCell ref="D144:E146"/>
    <mergeCell ref="G144:H144"/>
    <mergeCell ref="I144:J150"/>
    <mergeCell ref="M144:T144"/>
    <mergeCell ref="D150:E150"/>
    <mergeCell ref="G150:H150"/>
    <mergeCell ref="B151:F151"/>
    <mergeCell ref="G151:H151"/>
    <mergeCell ref="I151:J151"/>
    <mergeCell ref="A139:K139"/>
    <mergeCell ref="A140:K140"/>
    <mergeCell ref="A141:F141"/>
    <mergeCell ref="G141:H141"/>
    <mergeCell ref="I141:J141"/>
    <mergeCell ref="B142:F142"/>
    <mergeCell ref="G142:H142"/>
    <mergeCell ref="I142:J142"/>
    <mergeCell ref="F133:I133"/>
    <mergeCell ref="B134:J134"/>
    <mergeCell ref="A135:J135"/>
    <mergeCell ref="A136:K136"/>
    <mergeCell ref="A137:J137"/>
    <mergeCell ref="A138:K138"/>
    <mergeCell ref="A127:J127"/>
    <mergeCell ref="A128:K128"/>
    <mergeCell ref="A129:J129"/>
    <mergeCell ref="A130:K130"/>
    <mergeCell ref="A131:K131"/>
    <mergeCell ref="B132:J132"/>
    <mergeCell ref="A122:G122"/>
    <mergeCell ref="H122:J122"/>
    <mergeCell ref="A123:K123"/>
    <mergeCell ref="A124:K124"/>
    <mergeCell ref="A125:J125"/>
    <mergeCell ref="B126:J126"/>
    <mergeCell ref="H118:J118"/>
    <mergeCell ref="B119:J119"/>
    <mergeCell ref="M119:T120"/>
    <mergeCell ref="B120:G120"/>
    <mergeCell ref="H120:J120"/>
    <mergeCell ref="B121:G121"/>
    <mergeCell ref="H121:J121"/>
    <mergeCell ref="A115:A116"/>
    <mergeCell ref="B115:J115"/>
    <mergeCell ref="K115:K116"/>
    <mergeCell ref="M115:T118"/>
    <mergeCell ref="B116:G116"/>
    <mergeCell ref="H116:J116"/>
    <mergeCell ref="A117:A118"/>
    <mergeCell ref="B117:J117"/>
    <mergeCell ref="K117:K118"/>
    <mergeCell ref="B118:G118"/>
    <mergeCell ref="A113:A114"/>
    <mergeCell ref="B113:J113"/>
    <mergeCell ref="K113:K114"/>
    <mergeCell ref="M113:T114"/>
    <mergeCell ref="B114:G114"/>
    <mergeCell ref="H114:J114"/>
    <mergeCell ref="A111:A112"/>
    <mergeCell ref="B111:J111"/>
    <mergeCell ref="K111:K112"/>
    <mergeCell ref="M111:T112"/>
    <mergeCell ref="F112:G112"/>
    <mergeCell ref="H112:J112"/>
    <mergeCell ref="A107:J107"/>
    <mergeCell ref="A108:J108"/>
    <mergeCell ref="A109:G109"/>
    <mergeCell ref="H109:J109"/>
    <mergeCell ref="B110:G110"/>
    <mergeCell ref="H110:J110"/>
    <mergeCell ref="B101:G101"/>
    <mergeCell ref="H101:J101"/>
    <mergeCell ref="M101:T102"/>
    <mergeCell ref="A102:G102"/>
    <mergeCell ref="H102:J102"/>
    <mergeCell ref="A103:K103"/>
    <mergeCell ref="M103:T107"/>
    <mergeCell ref="A104:K104"/>
    <mergeCell ref="A105:K105"/>
    <mergeCell ref="A106:J106"/>
    <mergeCell ref="B98:G98"/>
    <mergeCell ref="H98:J98"/>
    <mergeCell ref="B99:G99"/>
    <mergeCell ref="H99:J99"/>
    <mergeCell ref="B100:G100"/>
    <mergeCell ref="H100:J100"/>
    <mergeCell ref="A93:J93"/>
    <mergeCell ref="M93:T94"/>
    <mergeCell ref="A94:J94"/>
    <mergeCell ref="A95:G95"/>
    <mergeCell ref="H95:J95"/>
    <mergeCell ref="M95:T100"/>
    <mergeCell ref="B96:G96"/>
    <mergeCell ref="H96:J96"/>
    <mergeCell ref="B97:G97"/>
    <mergeCell ref="H97:J97"/>
    <mergeCell ref="B87:J87"/>
    <mergeCell ref="A88:J88"/>
    <mergeCell ref="A89:J89"/>
    <mergeCell ref="A90:K90"/>
    <mergeCell ref="A91:K91"/>
    <mergeCell ref="M91:T92"/>
    <mergeCell ref="A92:J92"/>
    <mergeCell ref="A84:A86"/>
    <mergeCell ref="B84:F84"/>
    <mergeCell ref="G84:J84"/>
    <mergeCell ref="K84:K86"/>
    <mergeCell ref="B85:F85"/>
    <mergeCell ref="G85:J85"/>
    <mergeCell ref="B86:F86"/>
    <mergeCell ref="G86:J86"/>
    <mergeCell ref="A81:A83"/>
    <mergeCell ref="B81:F81"/>
    <mergeCell ref="G81:J81"/>
    <mergeCell ref="K81:K83"/>
    <mergeCell ref="B82:F82"/>
    <mergeCell ref="G82:J82"/>
    <mergeCell ref="B83:F83"/>
    <mergeCell ref="G83:J83"/>
    <mergeCell ref="A78:A80"/>
    <mergeCell ref="B78:F78"/>
    <mergeCell ref="G78:J78"/>
    <mergeCell ref="K78:K80"/>
    <mergeCell ref="B79:E79"/>
    <mergeCell ref="G79:J79"/>
    <mergeCell ref="B80:E80"/>
    <mergeCell ref="G80:J80"/>
    <mergeCell ref="A75:A77"/>
    <mergeCell ref="B75:F75"/>
    <mergeCell ref="G75:J75"/>
    <mergeCell ref="K75:K77"/>
    <mergeCell ref="M75:T77"/>
    <mergeCell ref="B76:E76"/>
    <mergeCell ref="G76:J76"/>
    <mergeCell ref="B77:E77"/>
    <mergeCell ref="G77:J77"/>
    <mergeCell ref="A72:A74"/>
    <mergeCell ref="B72:F72"/>
    <mergeCell ref="G72:J72"/>
    <mergeCell ref="K72:K74"/>
    <mergeCell ref="B73:F73"/>
    <mergeCell ref="G73:J73"/>
    <mergeCell ref="B74:F74"/>
    <mergeCell ref="G74:J74"/>
    <mergeCell ref="A69:A71"/>
    <mergeCell ref="B69:F69"/>
    <mergeCell ref="G69:J69"/>
    <mergeCell ref="B70:F70"/>
    <mergeCell ref="G70:J70"/>
    <mergeCell ref="K70:K71"/>
    <mergeCell ref="B71:F71"/>
    <mergeCell ref="G71:J71"/>
    <mergeCell ref="A66:A68"/>
    <mergeCell ref="B66:F66"/>
    <mergeCell ref="G66:J66"/>
    <mergeCell ref="K66:K68"/>
    <mergeCell ref="M66:T68"/>
    <mergeCell ref="B67:E67"/>
    <mergeCell ref="G67:J67"/>
    <mergeCell ref="B68:E68"/>
    <mergeCell ref="G68:J68"/>
    <mergeCell ref="A63:A65"/>
    <mergeCell ref="B63:F63"/>
    <mergeCell ref="G63:J63"/>
    <mergeCell ref="K63:K65"/>
    <mergeCell ref="B64:D64"/>
    <mergeCell ref="G64:J64"/>
    <mergeCell ref="B65:D65"/>
    <mergeCell ref="G65:J65"/>
    <mergeCell ref="A59:H59"/>
    <mergeCell ref="I59:J59"/>
    <mergeCell ref="A60:K60"/>
    <mergeCell ref="A61:K61"/>
    <mergeCell ref="M61:T62"/>
    <mergeCell ref="A62:J62"/>
    <mergeCell ref="B56:H56"/>
    <mergeCell ref="I56:J56"/>
    <mergeCell ref="B57:H57"/>
    <mergeCell ref="I57:J57"/>
    <mergeCell ref="B58:H58"/>
    <mergeCell ref="I58:J58"/>
    <mergeCell ref="K52:K53"/>
    <mergeCell ref="M52:T53"/>
    <mergeCell ref="B54:H54"/>
    <mergeCell ref="I54:J54"/>
    <mergeCell ref="B55:H55"/>
    <mergeCell ref="I55:J55"/>
    <mergeCell ref="B50:H50"/>
    <mergeCell ref="I50:J50"/>
    <mergeCell ref="B51:H51"/>
    <mergeCell ref="I51:J51"/>
    <mergeCell ref="A52:A53"/>
    <mergeCell ref="B52:F53"/>
    <mergeCell ref="I52:J53"/>
    <mergeCell ref="A44:K44"/>
    <mergeCell ref="A45:K45"/>
    <mergeCell ref="A46:J46"/>
    <mergeCell ref="A47:J47"/>
    <mergeCell ref="A48:J48"/>
    <mergeCell ref="A49:H49"/>
    <mergeCell ref="I49:J49"/>
    <mergeCell ref="M40:T42"/>
    <mergeCell ref="B41:H41"/>
    <mergeCell ref="I41:J41"/>
    <mergeCell ref="B42:H42"/>
    <mergeCell ref="I42:J42"/>
    <mergeCell ref="A43:H43"/>
    <mergeCell ref="I43:J43"/>
    <mergeCell ref="A37:K37"/>
    <mergeCell ref="A38:K38"/>
    <mergeCell ref="A39:H39"/>
    <mergeCell ref="I39:J39"/>
    <mergeCell ref="B40:H40"/>
    <mergeCell ref="I40:J40"/>
    <mergeCell ref="K31:K33"/>
    <mergeCell ref="M31:T33"/>
    <mergeCell ref="I33:J33"/>
    <mergeCell ref="B34:J34"/>
    <mergeCell ref="A35:J35"/>
    <mergeCell ref="A36:K36"/>
    <mergeCell ref="B30:G30"/>
    <mergeCell ref="I30:J30"/>
    <mergeCell ref="A31:A33"/>
    <mergeCell ref="B31:F33"/>
    <mergeCell ref="G31:G32"/>
    <mergeCell ref="H31:H32"/>
    <mergeCell ref="I31:J32"/>
    <mergeCell ref="B27:G27"/>
    <mergeCell ref="I27:J27"/>
    <mergeCell ref="B28:G28"/>
    <mergeCell ref="I28:J28"/>
    <mergeCell ref="B29:G29"/>
    <mergeCell ref="I29:J29"/>
    <mergeCell ref="B21:J21"/>
    <mergeCell ref="B22:J22"/>
    <mergeCell ref="A23:K23"/>
    <mergeCell ref="A24:K24"/>
    <mergeCell ref="A25:J25"/>
    <mergeCell ref="B26:G26"/>
    <mergeCell ref="I26:J26"/>
    <mergeCell ref="B15:J15"/>
    <mergeCell ref="B16:J16"/>
    <mergeCell ref="B17:J17"/>
    <mergeCell ref="B18:J18"/>
    <mergeCell ref="B19:J19"/>
    <mergeCell ref="B20:J20"/>
    <mergeCell ref="A9:K9"/>
    <mergeCell ref="B10:J10"/>
    <mergeCell ref="B11:J11"/>
    <mergeCell ref="B12:J12"/>
    <mergeCell ref="B13:J13"/>
    <mergeCell ref="B14:J14"/>
    <mergeCell ref="A5:C5"/>
    <mergeCell ref="D5:K5"/>
    <mergeCell ref="A6:C6"/>
    <mergeCell ref="D6:K6"/>
    <mergeCell ref="A7:K7"/>
    <mergeCell ref="A8:K8"/>
    <mergeCell ref="A1:K1"/>
    <mergeCell ref="A2:K2"/>
    <mergeCell ref="A3:C3"/>
    <mergeCell ref="D3:K3"/>
    <mergeCell ref="A4:C4"/>
    <mergeCell ref="D4:K4"/>
  </mergeCells>
  <printOptions horizontalCentered="1" verticalCentered="1"/>
  <pageMargins left="0.70866141732283472" right="0.70866141732283472" top="0.74803149606299213" bottom="0.74803149606299213" header="0.31496062992125984" footer="0.31496062992125984"/>
  <pageSetup paperSize="9" scale="39" firstPageNumber="0" fitToHeight="2" orientation="portrait" r:id="rId1"/>
  <headerFooter alignWithMargins="0"/>
  <rowBreaks count="1" manualBreakCount="1">
    <brk id="95" max="16383" man="1"/>
  </rowBreaks>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T172"/>
  <sheetViews>
    <sheetView showGridLines="0" showZeros="0" zoomScaleNormal="100" zoomScaleSheetLayoutView="100" zoomScalePageLayoutView="60" workbookViewId="0">
      <selection activeCell="K26" sqref="K26"/>
    </sheetView>
  </sheetViews>
  <sheetFormatPr defaultColWidth="8.7109375" defaultRowHeight="15"/>
  <cols>
    <col min="1" max="1" width="7.140625" style="115" customWidth="1"/>
    <col min="2" max="2" width="6.7109375" style="115" customWidth="1"/>
    <col min="3" max="3" width="6.28515625" style="115" customWidth="1"/>
    <col min="4" max="4" width="8.7109375" style="115"/>
    <col min="5" max="5" width="11.28515625" style="115" customWidth="1"/>
    <col min="6" max="6" width="19.140625" style="115" customWidth="1"/>
    <col min="7" max="8" width="10.7109375" style="115" customWidth="1"/>
    <col min="9" max="9" width="8.7109375" style="115"/>
    <col min="10" max="10" width="7" style="115" customWidth="1"/>
    <col min="11" max="11" width="37.140625" style="124" customWidth="1"/>
    <col min="12" max="12" width="3.42578125" style="115" customWidth="1"/>
    <col min="13" max="13" width="11.140625" style="116" bestFit="1" customWidth="1"/>
    <col min="14" max="19" width="8.7109375" style="116"/>
    <col min="20" max="20" width="19.5703125" style="116" customWidth="1"/>
    <col min="21" max="16384" width="8.7109375" style="115"/>
  </cols>
  <sheetData>
    <row r="1" spans="1:12" s="116" customFormat="1" ht="21.75" customHeight="1">
      <c r="A1" s="416" t="s">
        <v>822</v>
      </c>
      <c r="B1" s="416"/>
      <c r="C1" s="416"/>
      <c r="D1" s="416"/>
      <c r="E1" s="416"/>
      <c r="F1" s="416"/>
      <c r="G1" s="416"/>
      <c r="H1" s="416"/>
      <c r="I1" s="416"/>
      <c r="J1" s="416"/>
      <c r="K1" s="416"/>
      <c r="L1" s="115"/>
    </row>
    <row r="2" spans="1:12" s="116" customFormat="1" ht="6.75" customHeight="1">
      <c r="A2" s="417"/>
      <c r="B2" s="417"/>
      <c r="C2" s="417"/>
      <c r="D2" s="417"/>
      <c r="E2" s="417"/>
      <c r="F2" s="417"/>
      <c r="G2" s="417"/>
      <c r="H2" s="417"/>
      <c r="I2" s="417"/>
      <c r="J2" s="417"/>
      <c r="K2" s="417"/>
      <c r="L2" s="115"/>
    </row>
    <row r="3" spans="1:12" s="116" customFormat="1" ht="17.25" customHeight="1">
      <c r="A3" s="419" t="s">
        <v>75</v>
      </c>
      <c r="B3" s="419"/>
      <c r="C3" s="419"/>
      <c r="D3" s="403" t="s">
        <v>269</v>
      </c>
      <c r="E3" s="403"/>
      <c r="F3" s="403"/>
      <c r="G3" s="403"/>
      <c r="H3" s="403"/>
      <c r="I3" s="403"/>
      <c r="J3" s="403"/>
      <c r="K3" s="403"/>
      <c r="L3" s="115"/>
    </row>
    <row r="4" spans="1:12" s="116" customFormat="1" ht="17.25" customHeight="1">
      <c r="A4" s="419" t="s">
        <v>95</v>
      </c>
      <c r="B4" s="419"/>
      <c r="C4" s="419"/>
      <c r="D4" s="420"/>
      <c r="E4" s="420"/>
      <c r="F4" s="420"/>
      <c r="G4" s="420"/>
      <c r="H4" s="420"/>
      <c r="I4" s="420"/>
      <c r="J4" s="420"/>
      <c r="K4" s="420"/>
      <c r="L4" s="115"/>
    </row>
    <row r="5" spans="1:12" s="116" customFormat="1" ht="17.25" customHeight="1">
      <c r="A5" s="419" t="s">
        <v>96</v>
      </c>
      <c r="B5" s="419"/>
      <c r="C5" s="419"/>
      <c r="D5" s="420"/>
      <c r="E5" s="420"/>
      <c r="F5" s="420"/>
      <c r="G5" s="420"/>
      <c r="H5" s="420"/>
      <c r="I5" s="420"/>
      <c r="J5" s="420"/>
      <c r="K5" s="420"/>
      <c r="L5" s="115"/>
    </row>
    <row r="6" spans="1:12" s="116" customFormat="1" ht="17.25" customHeight="1">
      <c r="A6" s="419" t="s">
        <v>159</v>
      </c>
      <c r="B6" s="419"/>
      <c r="C6" s="419"/>
      <c r="D6" s="403" t="s">
        <v>268</v>
      </c>
      <c r="E6" s="403"/>
      <c r="F6" s="403"/>
      <c r="G6" s="403"/>
      <c r="H6" s="403"/>
      <c r="I6" s="403"/>
      <c r="J6" s="403"/>
      <c r="K6" s="403"/>
      <c r="L6" s="115"/>
    </row>
    <row r="7" spans="1:12" s="116" customFormat="1" ht="6.75" customHeight="1">
      <c r="A7" s="418"/>
      <c r="B7" s="418"/>
      <c r="C7" s="418"/>
      <c r="D7" s="418"/>
      <c r="E7" s="418"/>
      <c r="F7" s="418"/>
      <c r="G7" s="418"/>
      <c r="H7" s="418"/>
      <c r="I7" s="418"/>
      <c r="J7" s="418"/>
      <c r="K7" s="418"/>
      <c r="L7" s="115"/>
    </row>
    <row r="8" spans="1:12" s="116" customFormat="1" ht="6.75" customHeight="1">
      <c r="A8" s="408"/>
      <c r="B8" s="408"/>
      <c r="C8" s="408"/>
      <c r="D8" s="408"/>
      <c r="E8" s="408"/>
      <c r="F8" s="408"/>
      <c r="G8" s="408"/>
      <c r="H8" s="408"/>
      <c r="I8" s="408"/>
      <c r="J8" s="408"/>
      <c r="K8" s="408"/>
      <c r="L8" s="115"/>
    </row>
    <row r="9" spans="1:12" s="116" customFormat="1" ht="17.25" customHeight="1">
      <c r="A9" s="390" t="s">
        <v>0</v>
      </c>
      <c r="B9" s="390"/>
      <c r="C9" s="390"/>
      <c r="D9" s="390"/>
      <c r="E9" s="390"/>
      <c r="F9" s="390"/>
      <c r="G9" s="390"/>
      <c r="H9" s="390"/>
      <c r="I9" s="390"/>
      <c r="J9" s="390"/>
      <c r="K9" s="390"/>
      <c r="L9" s="115"/>
    </row>
    <row r="10" spans="1:12" s="116" customFormat="1" ht="17.25" customHeight="1">
      <c r="A10" s="313" t="s">
        <v>1</v>
      </c>
      <c r="B10" s="380" t="s">
        <v>2</v>
      </c>
      <c r="C10" s="380"/>
      <c r="D10" s="380"/>
      <c r="E10" s="380"/>
      <c r="F10" s="380"/>
      <c r="G10" s="380"/>
      <c r="H10" s="380"/>
      <c r="I10" s="380"/>
      <c r="J10" s="380"/>
      <c r="K10" s="320"/>
      <c r="L10" s="115"/>
    </row>
    <row r="11" spans="1:12" s="116" customFormat="1" ht="16.5" customHeight="1">
      <c r="A11" s="313" t="s">
        <v>3</v>
      </c>
      <c r="B11" s="380" t="s">
        <v>4</v>
      </c>
      <c r="C11" s="380"/>
      <c r="D11" s="380"/>
      <c r="E11" s="380"/>
      <c r="F11" s="380"/>
      <c r="G11" s="380"/>
      <c r="H11" s="380"/>
      <c r="I11" s="380"/>
      <c r="J11" s="380"/>
      <c r="K11" s="312" t="s">
        <v>270</v>
      </c>
      <c r="L11" s="115"/>
    </row>
    <row r="12" spans="1:12" s="116" customFormat="1">
      <c r="A12" s="313" t="s">
        <v>5</v>
      </c>
      <c r="B12" s="380" t="s">
        <v>120</v>
      </c>
      <c r="C12" s="380"/>
      <c r="D12" s="380"/>
      <c r="E12" s="380"/>
      <c r="F12" s="380"/>
      <c r="G12" s="380"/>
      <c r="H12" s="380"/>
      <c r="I12" s="380"/>
      <c r="J12" s="380"/>
      <c r="K12" s="259" t="s">
        <v>271</v>
      </c>
      <c r="L12" s="115"/>
    </row>
    <row r="13" spans="1:12" s="116" customFormat="1" ht="16.5" customHeight="1">
      <c r="A13" s="313" t="s">
        <v>6</v>
      </c>
      <c r="B13" s="414" t="s">
        <v>77</v>
      </c>
      <c r="C13" s="414"/>
      <c r="D13" s="414"/>
      <c r="E13" s="414"/>
      <c r="F13" s="414"/>
      <c r="G13" s="414"/>
      <c r="H13" s="414"/>
      <c r="I13" s="414"/>
      <c r="J13" s="414"/>
      <c r="K13" s="312" t="s">
        <v>262</v>
      </c>
      <c r="L13" s="115"/>
    </row>
    <row r="14" spans="1:12" s="116" customFormat="1" ht="16.5" customHeight="1">
      <c r="A14" s="313" t="s">
        <v>8</v>
      </c>
      <c r="B14" s="414" t="s">
        <v>127</v>
      </c>
      <c r="C14" s="414"/>
      <c r="D14" s="414"/>
      <c r="E14" s="414"/>
      <c r="F14" s="414"/>
      <c r="G14" s="414"/>
      <c r="H14" s="414"/>
      <c r="I14" s="414"/>
      <c r="J14" s="414"/>
      <c r="K14" s="260" t="s">
        <v>223</v>
      </c>
      <c r="L14" s="115"/>
    </row>
    <row r="15" spans="1:12" s="116" customFormat="1" ht="16.5" customHeight="1">
      <c r="A15" s="313" t="s">
        <v>10</v>
      </c>
      <c r="B15" s="414" t="s">
        <v>7</v>
      </c>
      <c r="C15" s="414"/>
      <c r="D15" s="414"/>
      <c r="E15" s="414"/>
      <c r="F15" s="414"/>
      <c r="G15" s="414"/>
      <c r="H15" s="414"/>
      <c r="I15" s="414"/>
      <c r="J15" s="414"/>
      <c r="K15" s="312" t="s">
        <v>691</v>
      </c>
      <c r="L15" s="115"/>
    </row>
    <row r="16" spans="1:12" s="116" customFormat="1" ht="29.45" customHeight="1">
      <c r="A16" s="313" t="s">
        <v>11</v>
      </c>
      <c r="B16" s="414" t="s">
        <v>9</v>
      </c>
      <c r="C16" s="414"/>
      <c r="D16" s="414"/>
      <c r="E16" s="414"/>
      <c r="F16" s="414"/>
      <c r="G16" s="414"/>
      <c r="H16" s="414"/>
      <c r="I16" s="414"/>
      <c r="J16" s="414"/>
      <c r="K16" s="271" t="s">
        <v>690</v>
      </c>
      <c r="L16" s="117"/>
    </row>
    <row r="17" spans="1:20" ht="15.75" customHeight="1">
      <c r="A17" s="313" t="s">
        <v>12</v>
      </c>
      <c r="B17" s="414" t="s">
        <v>143</v>
      </c>
      <c r="C17" s="414"/>
      <c r="D17" s="414"/>
      <c r="E17" s="414"/>
      <c r="F17" s="414"/>
      <c r="G17" s="414"/>
      <c r="H17" s="414"/>
      <c r="I17" s="414"/>
      <c r="J17" s="414"/>
      <c r="K17" s="312">
        <v>1100</v>
      </c>
      <c r="L17" s="117"/>
    </row>
    <row r="18" spans="1:20" ht="16.5" customHeight="1">
      <c r="A18" s="313" t="s">
        <v>14</v>
      </c>
      <c r="B18" s="414" t="s">
        <v>162</v>
      </c>
      <c r="C18" s="414"/>
      <c r="D18" s="414"/>
      <c r="E18" s="414"/>
      <c r="F18" s="414"/>
      <c r="G18" s="414"/>
      <c r="H18" s="414"/>
      <c r="I18" s="414"/>
      <c r="J18" s="414"/>
      <c r="K18" s="314">
        <v>1668.89</v>
      </c>
    </row>
    <row r="19" spans="1:20">
      <c r="A19" s="313" t="s">
        <v>16</v>
      </c>
      <c r="B19" s="380" t="s">
        <v>84</v>
      </c>
      <c r="C19" s="380"/>
      <c r="D19" s="380"/>
      <c r="E19" s="380"/>
      <c r="F19" s="380"/>
      <c r="G19" s="380"/>
      <c r="H19" s="380"/>
      <c r="I19" s="380"/>
      <c r="J19" s="380"/>
      <c r="K19" s="279" t="s">
        <v>688</v>
      </c>
    </row>
    <row r="20" spans="1:20" ht="16.5" customHeight="1">
      <c r="A20" s="313" t="s">
        <v>76</v>
      </c>
      <c r="B20" s="380" t="s">
        <v>13</v>
      </c>
      <c r="C20" s="380"/>
      <c r="D20" s="380"/>
      <c r="E20" s="380"/>
      <c r="F20" s="380"/>
      <c r="G20" s="380"/>
      <c r="H20" s="380"/>
      <c r="I20" s="380"/>
      <c r="J20" s="380"/>
      <c r="K20" s="280" t="s">
        <v>819</v>
      </c>
    </row>
    <row r="21" spans="1:20" ht="17.25" customHeight="1">
      <c r="A21" s="313" t="s">
        <v>78</v>
      </c>
      <c r="B21" s="380" t="s">
        <v>15</v>
      </c>
      <c r="C21" s="380"/>
      <c r="D21" s="380"/>
      <c r="E21" s="380"/>
      <c r="F21" s="380"/>
      <c r="G21" s="380"/>
      <c r="H21" s="380"/>
      <c r="I21" s="380"/>
      <c r="J21" s="380"/>
      <c r="K21" s="281">
        <v>44317</v>
      </c>
    </row>
    <row r="22" spans="1:20" ht="17.25" customHeight="1">
      <c r="A22" s="313" t="s">
        <v>142</v>
      </c>
      <c r="B22" s="380" t="s">
        <v>17</v>
      </c>
      <c r="C22" s="380"/>
      <c r="D22" s="380"/>
      <c r="E22" s="380"/>
      <c r="F22" s="380"/>
      <c r="G22" s="380"/>
      <c r="H22" s="380"/>
      <c r="I22" s="380"/>
      <c r="J22" s="380"/>
      <c r="K22" s="261">
        <v>12</v>
      </c>
    </row>
    <row r="23" spans="1:20" ht="6.75" customHeight="1">
      <c r="A23" s="408"/>
      <c r="B23" s="408"/>
      <c r="C23" s="408"/>
      <c r="D23" s="408"/>
      <c r="E23" s="408"/>
      <c r="F23" s="408"/>
      <c r="G23" s="408"/>
      <c r="H23" s="408"/>
      <c r="I23" s="408"/>
      <c r="J23" s="408"/>
      <c r="K23" s="408"/>
    </row>
    <row r="24" spans="1:20" ht="17.25" customHeight="1">
      <c r="A24" s="390" t="s">
        <v>18</v>
      </c>
      <c r="B24" s="390"/>
      <c r="C24" s="390"/>
      <c r="D24" s="390"/>
      <c r="E24" s="390"/>
      <c r="F24" s="390"/>
      <c r="G24" s="390"/>
      <c r="H24" s="390"/>
      <c r="I24" s="390"/>
      <c r="J24" s="390"/>
      <c r="K24" s="390"/>
    </row>
    <row r="25" spans="1:20" ht="17.25" customHeight="1">
      <c r="A25" s="390"/>
      <c r="B25" s="390"/>
      <c r="C25" s="390"/>
      <c r="D25" s="390"/>
      <c r="E25" s="390"/>
      <c r="F25" s="390"/>
      <c r="G25" s="390"/>
      <c r="H25" s="390"/>
      <c r="I25" s="390"/>
      <c r="J25" s="390"/>
      <c r="K25" s="316" t="s">
        <v>20</v>
      </c>
    </row>
    <row r="26" spans="1:20" ht="17.25" customHeight="1">
      <c r="A26" s="313" t="s">
        <v>1</v>
      </c>
      <c r="B26" s="414" t="s">
        <v>21</v>
      </c>
      <c r="C26" s="414"/>
      <c r="D26" s="414"/>
      <c r="E26" s="414"/>
      <c r="F26" s="414"/>
      <c r="G26" s="414"/>
      <c r="H26" s="262">
        <v>220</v>
      </c>
      <c r="I26" s="377" t="s">
        <v>126</v>
      </c>
      <c r="J26" s="377"/>
      <c r="K26" s="314">
        <f>K18/220*H26</f>
        <v>1668.89</v>
      </c>
      <c r="M26" s="375"/>
      <c r="N26" s="375"/>
      <c r="O26" s="375"/>
      <c r="P26" s="375"/>
      <c r="Q26" s="375"/>
      <c r="R26" s="375"/>
      <c r="S26" s="375"/>
      <c r="T26" s="375"/>
    </row>
    <row r="27" spans="1:20" ht="17.25" customHeight="1">
      <c r="A27" s="313" t="s">
        <v>3</v>
      </c>
      <c r="B27" s="414" t="s">
        <v>98</v>
      </c>
      <c r="C27" s="414"/>
      <c r="D27" s="414"/>
      <c r="E27" s="414"/>
      <c r="F27" s="414"/>
      <c r="G27" s="414"/>
      <c r="H27" s="318"/>
      <c r="I27" s="377" t="s">
        <v>100</v>
      </c>
      <c r="J27" s="377"/>
      <c r="K27" s="312">
        <f>H27*K18</f>
        <v>0</v>
      </c>
      <c r="M27" s="212" t="s">
        <v>153</v>
      </c>
      <c r="N27" s="213"/>
      <c r="O27" s="213"/>
      <c r="P27" s="213"/>
      <c r="Q27" s="213"/>
      <c r="R27" s="213"/>
      <c r="S27" s="213"/>
      <c r="T27" s="214"/>
    </row>
    <row r="28" spans="1:20" ht="17.25" customHeight="1">
      <c r="A28" s="313" t="s">
        <v>5</v>
      </c>
      <c r="B28" s="414" t="s">
        <v>99</v>
      </c>
      <c r="C28" s="414"/>
      <c r="D28" s="414"/>
      <c r="E28" s="414"/>
      <c r="F28" s="414"/>
      <c r="G28" s="414"/>
      <c r="H28" s="318"/>
      <c r="I28" s="377" t="s">
        <v>100</v>
      </c>
      <c r="J28" s="377"/>
      <c r="K28" s="312">
        <f>H28*K17</f>
        <v>0</v>
      </c>
      <c r="M28" s="215" t="s">
        <v>153</v>
      </c>
      <c r="N28" s="216"/>
      <c r="O28" s="216"/>
      <c r="P28" s="216"/>
      <c r="Q28" s="216"/>
      <c r="R28" s="216"/>
      <c r="S28" s="216"/>
      <c r="T28" s="217"/>
    </row>
    <row r="29" spans="1:20" ht="17.25" customHeight="1">
      <c r="A29" s="313" t="s">
        <v>6</v>
      </c>
      <c r="B29" s="414" t="s">
        <v>101</v>
      </c>
      <c r="C29" s="414"/>
      <c r="D29" s="414"/>
      <c r="E29" s="414"/>
      <c r="F29" s="414"/>
      <c r="G29" s="414"/>
      <c r="H29" s="318"/>
      <c r="I29" s="377" t="s">
        <v>100</v>
      </c>
      <c r="J29" s="377"/>
      <c r="K29" s="312">
        <f>H29*K26</f>
        <v>0</v>
      </c>
    </row>
    <row r="30" spans="1:20" ht="17.25" customHeight="1">
      <c r="A30" s="313" t="s">
        <v>102</v>
      </c>
      <c r="B30" s="414" t="s">
        <v>103</v>
      </c>
      <c r="C30" s="414"/>
      <c r="D30" s="414"/>
      <c r="E30" s="414"/>
      <c r="F30" s="414"/>
      <c r="G30" s="414"/>
      <c r="H30" s="318"/>
      <c r="I30" s="377" t="s">
        <v>100</v>
      </c>
      <c r="J30" s="377"/>
      <c r="K30" s="312">
        <f>H30*K26</f>
        <v>0</v>
      </c>
    </row>
    <row r="31" spans="1:20" ht="17.25" customHeight="1">
      <c r="A31" s="377" t="s">
        <v>10</v>
      </c>
      <c r="B31" s="414" t="s">
        <v>140</v>
      </c>
      <c r="C31" s="414"/>
      <c r="D31" s="414"/>
      <c r="E31" s="414"/>
      <c r="F31" s="414"/>
      <c r="G31" s="413" t="s">
        <v>125</v>
      </c>
      <c r="H31" s="392" t="s">
        <v>123</v>
      </c>
      <c r="I31" s="413" t="s">
        <v>124</v>
      </c>
      <c r="J31" s="413"/>
      <c r="K31" s="391">
        <f>ROUND(I33*H33,2)</f>
        <v>0</v>
      </c>
      <c r="M31" s="381" t="s">
        <v>154</v>
      </c>
      <c r="N31" s="382"/>
      <c r="O31" s="382"/>
      <c r="P31" s="382"/>
      <c r="Q31" s="382"/>
      <c r="R31" s="382"/>
      <c r="S31" s="382"/>
      <c r="T31" s="383"/>
    </row>
    <row r="32" spans="1:20" ht="22.5" customHeight="1">
      <c r="A32" s="377"/>
      <c r="B32" s="414"/>
      <c r="C32" s="414"/>
      <c r="D32" s="414"/>
      <c r="E32" s="414"/>
      <c r="F32" s="414"/>
      <c r="G32" s="413"/>
      <c r="H32" s="392"/>
      <c r="I32" s="413"/>
      <c r="J32" s="413"/>
      <c r="K32" s="391"/>
      <c r="M32" s="384"/>
      <c r="N32" s="385"/>
      <c r="O32" s="385"/>
      <c r="P32" s="385"/>
      <c r="Q32" s="385"/>
      <c r="R32" s="385"/>
      <c r="S32" s="385"/>
      <c r="T32" s="386"/>
    </row>
    <row r="33" spans="1:20" ht="17.25" customHeight="1">
      <c r="A33" s="377"/>
      <c r="B33" s="414"/>
      <c r="C33" s="414"/>
      <c r="D33" s="414"/>
      <c r="E33" s="414"/>
      <c r="F33" s="414"/>
      <c r="G33" s="318"/>
      <c r="H33" s="262"/>
      <c r="I33" s="421">
        <f>(K26/H26)*(1+G33)</f>
        <v>7.5858636363636371</v>
      </c>
      <c r="J33" s="421"/>
      <c r="K33" s="391"/>
      <c r="M33" s="387"/>
      <c r="N33" s="388"/>
      <c r="O33" s="388"/>
      <c r="P33" s="388"/>
      <c r="Q33" s="388"/>
      <c r="R33" s="388"/>
      <c r="S33" s="388"/>
      <c r="T33" s="389"/>
    </row>
    <row r="34" spans="1:20" ht="17.25" customHeight="1">
      <c r="A34" s="313" t="s">
        <v>11</v>
      </c>
      <c r="B34" s="415" t="s">
        <v>22</v>
      </c>
      <c r="C34" s="415"/>
      <c r="D34" s="415"/>
      <c r="E34" s="415"/>
      <c r="F34" s="415"/>
      <c r="G34" s="415"/>
      <c r="H34" s="415"/>
      <c r="I34" s="415"/>
      <c r="J34" s="415"/>
      <c r="K34" s="314"/>
    </row>
    <row r="35" spans="1:20" ht="17.25" customHeight="1">
      <c r="A35" s="390" t="s">
        <v>23</v>
      </c>
      <c r="B35" s="390"/>
      <c r="C35" s="390"/>
      <c r="D35" s="390"/>
      <c r="E35" s="390"/>
      <c r="F35" s="390"/>
      <c r="G35" s="390"/>
      <c r="H35" s="390"/>
      <c r="I35" s="390"/>
      <c r="J35" s="390"/>
      <c r="K35" s="263">
        <f>ROUND(SUM(K26:K34),2)</f>
        <v>1668.89</v>
      </c>
    </row>
    <row r="36" spans="1:20" ht="6.75" customHeight="1">
      <c r="A36" s="408"/>
      <c r="B36" s="408"/>
      <c r="C36" s="408"/>
      <c r="D36" s="408"/>
      <c r="E36" s="408"/>
      <c r="F36" s="408"/>
      <c r="G36" s="408"/>
      <c r="H36" s="408"/>
      <c r="I36" s="408"/>
      <c r="J36" s="408"/>
      <c r="K36" s="408"/>
    </row>
    <row r="37" spans="1:20" ht="17.25" customHeight="1">
      <c r="A37" s="390" t="s">
        <v>24</v>
      </c>
      <c r="B37" s="390"/>
      <c r="C37" s="390"/>
      <c r="D37" s="390"/>
      <c r="E37" s="390"/>
      <c r="F37" s="390"/>
      <c r="G37" s="390"/>
      <c r="H37" s="390"/>
      <c r="I37" s="390"/>
      <c r="J37" s="390"/>
      <c r="K37" s="390"/>
    </row>
    <row r="38" spans="1:20" ht="17.25" customHeight="1">
      <c r="A38" s="373" t="s">
        <v>121</v>
      </c>
      <c r="B38" s="373"/>
      <c r="C38" s="373"/>
      <c r="D38" s="373"/>
      <c r="E38" s="373"/>
      <c r="F38" s="373"/>
      <c r="G38" s="373"/>
      <c r="H38" s="373"/>
      <c r="I38" s="373"/>
      <c r="J38" s="373"/>
      <c r="K38" s="373"/>
      <c r="M38" s="118"/>
    </row>
    <row r="39" spans="1:20" s="119" customFormat="1" ht="17.25" customHeight="1">
      <c r="A39" s="404"/>
      <c r="B39" s="404"/>
      <c r="C39" s="404"/>
      <c r="D39" s="404"/>
      <c r="E39" s="404"/>
      <c r="F39" s="404"/>
      <c r="G39" s="404"/>
      <c r="H39" s="404"/>
      <c r="I39" s="390" t="s">
        <v>25</v>
      </c>
      <c r="J39" s="390"/>
      <c r="K39" s="316" t="s">
        <v>20</v>
      </c>
      <c r="M39" s="116"/>
      <c r="N39" s="116"/>
      <c r="O39" s="116"/>
      <c r="P39" s="116"/>
      <c r="Q39" s="116"/>
      <c r="R39" s="116"/>
      <c r="S39" s="116"/>
      <c r="T39" s="116"/>
    </row>
    <row r="40" spans="1:20" ht="17.25" customHeight="1">
      <c r="A40" s="313" t="s">
        <v>1</v>
      </c>
      <c r="B40" s="380" t="s">
        <v>122</v>
      </c>
      <c r="C40" s="380"/>
      <c r="D40" s="380"/>
      <c r="E40" s="380"/>
      <c r="F40" s="380"/>
      <c r="G40" s="380"/>
      <c r="H40" s="380"/>
      <c r="I40" s="406">
        <f>ROUND(1/12,4)</f>
        <v>8.3299999999999999E-2</v>
      </c>
      <c r="J40" s="406"/>
      <c r="K40" s="315">
        <f>ROUND(I40*$K$35,2)</f>
        <v>139.02000000000001</v>
      </c>
      <c r="M40" s="394" t="s">
        <v>249</v>
      </c>
      <c r="N40" s="395"/>
      <c r="O40" s="395"/>
      <c r="P40" s="395"/>
      <c r="Q40" s="395"/>
      <c r="R40" s="395"/>
      <c r="S40" s="395"/>
      <c r="T40" s="396"/>
    </row>
    <row r="41" spans="1:20" ht="17.25" customHeight="1">
      <c r="A41" s="313" t="s">
        <v>3</v>
      </c>
      <c r="B41" s="414" t="s">
        <v>26</v>
      </c>
      <c r="C41" s="414"/>
      <c r="D41" s="414"/>
      <c r="E41" s="414"/>
      <c r="F41" s="414"/>
      <c r="G41" s="414"/>
      <c r="H41" s="414"/>
      <c r="I41" s="406">
        <f>ROUND(1/3/12,4)</f>
        <v>2.7799999999999998E-2</v>
      </c>
      <c r="J41" s="406"/>
      <c r="K41" s="315">
        <f>ROUND(I41*$K$35,2)</f>
        <v>46.4</v>
      </c>
      <c r="M41" s="397"/>
      <c r="N41" s="398"/>
      <c r="O41" s="398"/>
      <c r="P41" s="398"/>
      <c r="Q41" s="398"/>
      <c r="R41" s="398"/>
      <c r="S41" s="398"/>
      <c r="T41" s="399"/>
    </row>
    <row r="42" spans="1:20" ht="17.25" customHeight="1">
      <c r="A42" s="264" t="s">
        <v>5</v>
      </c>
      <c r="B42" s="424" t="s">
        <v>141</v>
      </c>
      <c r="C42" s="424"/>
      <c r="D42" s="424"/>
      <c r="E42" s="424"/>
      <c r="F42" s="424"/>
      <c r="G42" s="424"/>
      <c r="H42" s="424"/>
      <c r="I42" s="406">
        <f>ROUND(1/12,4)</f>
        <v>8.3299999999999999E-2</v>
      </c>
      <c r="J42" s="406"/>
      <c r="K42" s="322">
        <f>ROUND(I42*$K$35,2)</f>
        <v>139.02000000000001</v>
      </c>
      <c r="M42" s="400"/>
      <c r="N42" s="401"/>
      <c r="O42" s="401"/>
      <c r="P42" s="401"/>
      <c r="Q42" s="401"/>
      <c r="R42" s="401"/>
      <c r="S42" s="401"/>
      <c r="T42" s="402"/>
    </row>
    <row r="43" spans="1:20" ht="17.25" customHeight="1">
      <c r="A43" s="373" t="s">
        <v>27</v>
      </c>
      <c r="B43" s="373"/>
      <c r="C43" s="373"/>
      <c r="D43" s="373"/>
      <c r="E43" s="373"/>
      <c r="F43" s="373"/>
      <c r="G43" s="373"/>
      <c r="H43" s="373"/>
      <c r="I43" s="425">
        <f>SUM(I40:J42)</f>
        <v>0.19440000000000002</v>
      </c>
      <c r="J43" s="425"/>
      <c r="K43" s="265">
        <f>ROUND(SUM(K40:K42),2)</f>
        <v>324.44</v>
      </c>
    </row>
    <row r="44" spans="1:20" ht="6.75" customHeight="1">
      <c r="A44" s="417"/>
      <c r="B44" s="417"/>
      <c r="C44" s="417"/>
      <c r="D44" s="417"/>
      <c r="E44" s="417"/>
      <c r="F44" s="417"/>
      <c r="G44" s="417"/>
      <c r="H44" s="417"/>
      <c r="I44" s="417"/>
      <c r="J44" s="417"/>
      <c r="K44" s="417"/>
    </row>
    <row r="45" spans="1:20" ht="17.25" customHeight="1">
      <c r="A45" s="373" t="s">
        <v>28</v>
      </c>
      <c r="B45" s="373"/>
      <c r="C45" s="373"/>
      <c r="D45" s="373"/>
      <c r="E45" s="373"/>
      <c r="F45" s="373"/>
      <c r="G45" s="373"/>
      <c r="H45" s="373"/>
      <c r="I45" s="373"/>
      <c r="J45" s="373"/>
      <c r="K45" s="373"/>
    </row>
    <row r="46" spans="1:20" ht="17.25" customHeight="1">
      <c r="A46" s="427" t="s">
        <v>68</v>
      </c>
      <c r="B46" s="427"/>
      <c r="C46" s="427"/>
      <c r="D46" s="427"/>
      <c r="E46" s="427"/>
      <c r="F46" s="427"/>
      <c r="G46" s="427"/>
      <c r="H46" s="427"/>
      <c r="I46" s="427"/>
      <c r="J46" s="427"/>
      <c r="K46" s="265">
        <f>K35</f>
        <v>1668.89</v>
      </c>
    </row>
    <row r="47" spans="1:20" ht="17.25" customHeight="1">
      <c r="A47" s="426" t="s">
        <v>79</v>
      </c>
      <c r="B47" s="426"/>
      <c r="C47" s="426"/>
      <c r="D47" s="426"/>
      <c r="E47" s="426"/>
      <c r="F47" s="426"/>
      <c r="G47" s="426"/>
      <c r="H47" s="426"/>
      <c r="I47" s="426"/>
      <c r="J47" s="426"/>
      <c r="K47" s="265">
        <f>K43</f>
        <v>324.44</v>
      </c>
    </row>
    <row r="48" spans="1:20" ht="17.25" customHeight="1">
      <c r="A48" s="426" t="s">
        <v>80</v>
      </c>
      <c r="B48" s="426"/>
      <c r="C48" s="426"/>
      <c r="D48" s="426"/>
      <c r="E48" s="426"/>
      <c r="F48" s="426"/>
      <c r="G48" s="426"/>
      <c r="H48" s="426"/>
      <c r="I48" s="426"/>
      <c r="J48" s="426"/>
      <c r="K48" s="265">
        <f>SUM(K46:K47)</f>
        <v>1993.3300000000002</v>
      </c>
    </row>
    <row r="49" spans="1:20" s="119" customFormat="1" ht="17.25" customHeight="1">
      <c r="A49" s="404"/>
      <c r="B49" s="404"/>
      <c r="C49" s="404"/>
      <c r="D49" s="404"/>
      <c r="E49" s="404"/>
      <c r="F49" s="404"/>
      <c r="G49" s="404"/>
      <c r="H49" s="404"/>
      <c r="I49" s="390" t="s">
        <v>25</v>
      </c>
      <c r="J49" s="390"/>
      <c r="K49" s="316" t="s">
        <v>20</v>
      </c>
      <c r="M49" s="120"/>
      <c r="N49" s="120"/>
      <c r="O49" s="120"/>
      <c r="P49" s="120"/>
      <c r="Q49" s="120"/>
      <c r="R49" s="120"/>
      <c r="S49" s="116"/>
      <c r="T49" s="116"/>
    </row>
    <row r="50" spans="1:20" ht="17.25" customHeight="1">
      <c r="A50" s="313" t="s">
        <v>1</v>
      </c>
      <c r="B50" s="380" t="s">
        <v>144</v>
      </c>
      <c r="C50" s="380"/>
      <c r="D50" s="380"/>
      <c r="E50" s="380"/>
      <c r="F50" s="380"/>
      <c r="G50" s="380"/>
      <c r="H50" s="380"/>
      <c r="I50" s="405">
        <v>0.2</v>
      </c>
      <c r="J50" s="405"/>
      <c r="K50" s="315">
        <f>ROUND(I50*$K$48,2)</f>
        <v>398.67</v>
      </c>
    </row>
    <row r="51" spans="1:20" ht="17.25" customHeight="1">
      <c r="A51" s="313" t="s">
        <v>3</v>
      </c>
      <c r="B51" s="380" t="s">
        <v>145</v>
      </c>
      <c r="C51" s="380"/>
      <c r="D51" s="380"/>
      <c r="E51" s="380"/>
      <c r="F51" s="380"/>
      <c r="G51" s="380"/>
      <c r="H51" s="380"/>
      <c r="I51" s="405">
        <v>2.5000000000000001E-2</v>
      </c>
      <c r="J51" s="405"/>
      <c r="K51" s="315">
        <f t="shared" ref="K51:K57" si="0">ROUND(I51*$K$48,2)</f>
        <v>49.83</v>
      </c>
    </row>
    <row r="52" spans="1:20" ht="17.25" customHeight="1">
      <c r="A52" s="429" t="s">
        <v>5</v>
      </c>
      <c r="B52" s="411" t="s">
        <v>146</v>
      </c>
      <c r="C52" s="411"/>
      <c r="D52" s="411"/>
      <c r="E52" s="411"/>
      <c r="F52" s="411"/>
      <c r="G52" s="266" t="s">
        <v>118</v>
      </c>
      <c r="H52" s="266" t="s">
        <v>119</v>
      </c>
      <c r="I52" s="406">
        <f>(G53*H53)*100</f>
        <v>0.03</v>
      </c>
      <c r="J52" s="406"/>
      <c r="K52" s="428">
        <f t="shared" si="0"/>
        <v>59.8</v>
      </c>
      <c r="M52" s="446" t="s">
        <v>260</v>
      </c>
      <c r="N52" s="447"/>
      <c r="O52" s="447"/>
      <c r="P52" s="447"/>
      <c r="Q52" s="447"/>
      <c r="R52" s="447"/>
      <c r="S52" s="447"/>
      <c r="T52" s="448"/>
    </row>
    <row r="53" spans="1:20" ht="17.25" customHeight="1">
      <c r="A53" s="429"/>
      <c r="B53" s="411"/>
      <c r="C53" s="411"/>
      <c r="D53" s="411"/>
      <c r="E53" s="411"/>
      <c r="F53" s="411"/>
      <c r="G53" s="317">
        <v>0.03</v>
      </c>
      <c r="H53" s="284">
        <v>0.01</v>
      </c>
      <c r="I53" s="406"/>
      <c r="J53" s="406"/>
      <c r="K53" s="428"/>
      <c r="M53" s="449"/>
      <c r="N53" s="450"/>
      <c r="O53" s="450"/>
      <c r="P53" s="450"/>
      <c r="Q53" s="450"/>
      <c r="R53" s="450"/>
      <c r="S53" s="450"/>
      <c r="T53" s="451"/>
    </row>
    <row r="54" spans="1:20" ht="17.25" customHeight="1">
      <c r="A54" s="313" t="s">
        <v>6</v>
      </c>
      <c r="B54" s="380" t="s">
        <v>147</v>
      </c>
      <c r="C54" s="380"/>
      <c r="D54" s="380"/>
      <c r="E54" s="380"/>
      <c r="F54" s="380"/>
      <c r="G54" s="380"/>
      <c r="H54" s="380"/>
      <c r="I54" s="405">
        <v>1.4999999999999999E-2</v>
      </c>
      <c r="J54" s="405"/>
      <c r="K54" s="315">
        <f t="shared" si="0"/>
        <v>29.9</v>
      </c>
    </row>
    <row r="55" spans="1:20" ht="17.25" customHeight="1">
      <c r="A55" s="313" t="s">
        <v>8</v>
      </c>
      <c r="B55" s="380" t="s">
        <v>148</v>
      </c>
      <c r="C55" s="380"/>
      <c r="D55" s="380"/>
      <c r="E55" s="380"/>
      <c r="F55" s="380"/>
      <c r="G55" s="380"/>
      <c r="H55" s="380"/>
      <c r="I55" s="405">
        <v>0.01</v>
      </c>
      <c r="J55" s="405"/>
      <c r="K55" s="315">
        <f t="shared" si="0"/>
        <v>19.93</v>
      </c>
    </row>
    <row r="56" spans="1:20" ht="17.25" customHeight="1">
      <c r="A56" s="313" t="s">
        <v>10</v>
      </c>
      <c r="B56" s="380" t="s">
        <v>149</v>
      </c>
      <c r="C56" s="380"/>
      <c r="D56" s="380"/>
      <c r="E56" s="380"/>
      <c r="F56" s="380"/>
      <c r="G56" s="380"/>
      <c r="H56" s="380"/>
      <c r="I56" s="405">
        <v>6.0000000000000001E-3</v>
      </c>
      <c r="J56" s="405"/>
      <c r="K56" s="315">
        <f t="shared" si="0"/>
        <v>11.96</v>
      </c>
    </row>
    <row r="57" spans="1:20" ht="17.25" customHeight="1">
      <c r="A57" s="313" t="s">
        <v>11</v>
      </c>
      <c r="B57" s="380" t="s">
        <v>150</v>
      </c>
      <c r="C57" s="380"/>
      <c r="D57" s="380"/>
      <c r="E57" s="380"/>
      <c r="F57" s="380"/>
      <c r="G57" s="380"/>
      <c r="H57" s="380"/>
      <c r="I57" s="405">
        <v>2E-3</v>
      </c>
      <c r="J57" s="405"/>
      <c r="K57" s="315">
        <f t="shared" si="0"/>
        <v>3.99</v>
      </c>
    </row>
    <row r="58" spans="1:20" ht="17.25" customHeight="1">
      <c r="A58" s="313" t="s">
        <v>12</v>
      </c>
      <c r="B58" s="380" t="s">
        <v>151</v>
      </c>
      <c r="C58" s="380"/>
      <c r="D58" s="380"/>
      <c r="E58" s="380"/>
      <c r="F58" s="380"/>
      <c r="G58" s="380"/>
      <c r="H58" s="380"/>
      <c r="I58" s="405">
        <v>0.08</v>
      </c>
      <c r="J58" s="405"/>
      <c r="K58" s="315">
        <f>ROUND(I58*$K$48,2)</f>
        <v>159.47</v>
      </c>
    </row>
    <row r="59" spans="1:20" ht="17.25" customHeight="1">
      <c r="A59" s="373" t="s">
        <v>29</v>
      </c>
      <c r="B59" s="373"/>
      <c r="C59" s="373"/>
      <c r="D59" s="373"/>
      <c r="E59" s="373"/>
      <c r="F59" s="373"/>
      <c r="G59" s="373"/>
      <c r="H59" s="373"/>
      <c r="I59" s="425">
        <f>SUM(I50:J58)</f>
        <v>0.36800000000000005</v>
      </c>
      <c r="J59" s="425"/>
      <c r="K59" s="265">
        <f>ROUND(SUM(K50:K58),2)</f>
        <v>733.55</v>
      </c>
    </row>
    <row r="60" spans="1:20" ht="5.25" customHeight="1">
      <c r="A60" s="410"/>
      <c r="B60" s="410"/>
      <c r="C60" s="410"/>
      <c r="D60" s="410"/>
      <c r="E60" s="410"/>
      <c r="F60" s="410"/>
      <c r="G60" s="410"/>
      <c r="H60" s="410"/>
      <c r="I60" s="410"/>
      <c r="J60" s="410"/>
      <c r="K60" s="410"/>
    </row>
    <row r="61" spans="1:20" ht="17.25" customHeight="1">
      <c r="A61" s="373" t="s">
        <v>30</v>
      </c>
      <c r="B61" s="373"/>
      <c r="C61" s="373"/>
      <c r="D61" s="373"/>
      <c r="E61" s="373"/>
      <c r="F61" s="373"/>
      <c r="G61" s="373"/>
      <c r="H61" s="373"/>
      <c r="I61" s="373"/>
      <c r="J61" s="373"/>
      <c r="K61" s="373"/>
      <c r="M61" s="431" t="s">
        <v>155</v>
      </c>
      <c r="N61" s="432"/>
      <c r="O61" s="432"/>
      <c r="P61" s="432"/>
      <c r="Q61" s="432"/>
      <c r="R61" s="432"/>
      <c r="S61" s="432"/>
      <c r="T61" s="433"/>
    </row>
    <row r="62" spans="1:20" ht="17.25" customHeight="1">
      <c r="A62" s="412"/>
      <c r="B62" s="412"/>
      <c r="C62" s="412"/>
      <c r="D62" s="412"/>
      <c r="E62" s="412"/>
      <c r="F62" s="412"/>
      <c r="G62" s="412"/>
      <c r="H62" s="412"/>
      <c r="I62" s="412"/>
      <c r="J62" s="412"/>
      <c r="K62" s="316" t="s">
        <v>20</v>
      </c>
      <c r="M62" s="434"/>
      <c r="N62" s="435"/>
      <c r="O62" s="435"/>
      <c r="P62" s="435"/>
      <c r="Q62" s="435"/>
      <c r="R62" s="435"/>
      <c r="S62" s="435"/>
      <c r="T62" s="436"/>
    </row>
    <row r="63" spans="1:20" ht="17.25" customHeight="1">
      <c r="A63" s="377" t="s">
        <v>1</v>
      </c>
      <c r="B63" s="393" t="s">
        <v>128</v>
      </c>
      <c r="C63" s="393"/>
      <c r="D63" s="393"/>
      <c r="E63" s="393"/>
      <c r="F63" s="393"/>
      <c r="G63" s="376"/>
      <c r="H63" s="376"/>
      <c r="I63" s="376"/>
      <c r="J63" s="376"/>
      <c r="K63" s="379">
        <f>ROUND((B65*E65*F65)-G65,2)</f>
        <v>236.47</v>
      </c>
    </row>
    <row r="64" spans="1:20" ht="17.25" customHeight="1">
      <c r="A64" s="377"/>
      <c r="B64" s="409" t="s">
        <v>34</v>
      </c>
      <c r="C64" s="409"/>
      <c r="D64" s="409"/>
      <c r="E64" s="313" t="s">
        <v>32</v>
      </c>
      <c r="F64" s="319" t="s">
        <v>35</v>
      </c>
      <c r="G64" s="409" t="s">
        <v>139</v>
      </c>
      <c r="H64" s="409"/>
      <c r="I64" s="409"/>
      <c r="J64" s="409"/>
      <c r="K64" s="379"/>
    </row>
    <row r="65" spans="1:20" ht="17.25" customHeight="1">
      <c r="A65" s="377"/>
      <c r="B65" s="423">
        <v>2</v>
      </c>
      <c r="C65" s="423"/>
      <c r="D65" s="423"/>
      <c r="E65" s="282">
        <v>22</v>
      </c>
      <c r="F65" s="314">
        <v>7.65</v>
      </c>
      <c r="G65" s="379">
        <f>0.06*K26</f>
        <v>100.13340000000001</v>
      </c>
      <c r="H65" s="379"/>
      <c r="I65" s="379"/>
      <c r="J65" s="379"/>
      <c r="K65" s="379"/>
    </row>
    <row r="66" spans="1:20" ht="17.25" customHeight="1">
      <c r="A66" s="377" t="s">
        <v>3</v>
      </c>
      <c r="B66" s="410" t="s">
        <v>81</v>
      </c>
      <c r="C66" s="410"/>
      <c r="D66" s="410"/>
      <c r="E66" s="410"/>
      <c r="F66" s="410"/>
      <c r="G66" s="376" t="s">
        <v>689</v>
      </c>
      <c r="H66" s="376"/>
      <c r="I66" s="376"/>
      <c r="J66" s="376"/>
      <c r="K66" s="379">
        <f>ROUND((B68-G68)*F68,2)</f>
        <v>512.04999999999995</v>
      </c>
      <c r="M66" s="437" t="s">
        <v>132</v>
      </c>
      <c r="N66" s="438"/>
      <c r="O66" s="438"/>
      <c r="P66" s="438"/>
      <c r="Q66" s="438"/>
      <c r="R66" s="438"/>
      <c r="S66" s="438"/>
      <c r="T66" s="439"/>
    </row>
    <row r="67" spans="1:20" ht="17.25" customHeight="1">
      <c r="A67" s="377"/>
      <c r="B67" s="377" t="s">
        <v>82</v>
      </c>
      <c r="C67" s="377"/>
      <c r="D67" s="377"/>
      <c r="E67" s="377"/>
      <c r="F67" s="313" t="s">
        <v>32</v>
      </c>
      <c r="G67" s="377" t="s">
        <v>131</v>
      </c>
      <c r="H67" s="377"/>
      <c r="I67" s="377"/>
      <c r="J67" s="377"/>
      <c r="K67" s="379"/>
      <c r="M67" s="440"/>
      <c r="N67" s="441"/>
      <c r="O67" s="441"/>
      <c r="P67" s="441"/>
      <c r="Q67" s="441"/>
      <c r="R67" s="441"/>
      <c r="S67" s="441"/>
      <c r="T67" s="442"/>
    </row>
    <row r="68" spans="1:20" ht="17.25" customHeight="1">
      <c r="A68" s="377"/>
      <c r="B68" s="430">
        <v>24.5</v>
      </c>
      <c r="C68" s="430"/>
      <c r="D68" s="430"/>
      <c r="E68" s="430"/>
      <c r="F68" s="282">
        <f>E65</f>
        <v>22</v>
      </c>
      <c r="G68" s="378">
        <f>B68*5%</f>
        <v>1.2250000000000001</v>
      </c>
      <c r="H68" s="378"/>
      <c r="I68" s="378"/>
      <c r="J68" s="378"/>
      <c r="K68" s="379"/>
      <c r="M68" s="443"/>
      <c r="N68" s="444"/>
      <c r="O68" s="444"/>
      <c r="P68" s="444"/>
      <c r="Q68" s="444"/>
      <c r="R68" s="444"/>
      <c r="S68" s="444"/>
      <c r="T68" s="445"/>
    </row>
    <row r="69" spans="1:20" ht="17.25" customHeight="1">
      <c r="A69" s="377" t="s">
        <v>5</v>
      </c>
      <c r="B69" s="410" t="s">
        <v>31</v>
      </c>
      <c r="C69" s="410"/>
      <c r="D69" s="410"/>
      <c r="E69" s="410"/>
      <c r="F69" s="410"/>
      <c r="G69" s="376" t="s">
        <v>689</v>
      </c>
      <c r="H69" s="376"/>
      <c r="I69" s="376"/>
      <c r="J69" s="376"/>
      <c r="K69" s="315"/>
    </row>
    <row r="70" spans="1:20" ht="17.25" customHeight="1">
      <c r="A70" s="377"/>
      <c r="B70" s="377" t="s">
        <v>82</v>
      </c>
      <c r="C70" s="377"/>
      <c r="D70" s="377"/>
      <c r="E70" s="377"/>
      <c r="F70" s="377"/>
      <c r="G70" s="377" t="s">
        <v>33</v>
      </c>
      <c r="H70" s="377"/>
      <c r="I70" s="377"/>
      <c r="J70" s="377"/>
      <c r="K70" s="379">
        <f>B71-G71</f>
        <v>0</v>
      </c>
    </row>
    <row r="71" spans="1:20" ht="17.25" customHeight="1">
      <c r="A71" s="377"/>
      <c r="B71" s="376"/>
      <c r="C71" s="376"/>
      <c r="D71" s="376"/>
      <c r="E71" s="376"/>
      <c r="F71" s="376"/>
      <c r="G71" s="376">
        <v>0</v>
      </c>
      <c r="H71" s="376"/>
      <c r="I71" s="376"/>
      <c r="J71" s="376"/>
      <c r="K71" s="379"/>
    </row>
    <row r="72" spans="1:20" ht="17.25" customHeight="1">
      <c r="A72" s="313" t="s">
        <v>6</v>
      </c>
      <c r="B72" s="378" t="s">
        <v>83</v>
      </c>
      <c r="C72" s="378"/>
      <c r="D72" s="378"/>
      <c r="E72" s="378"/>
      <c r="F72" s="378"/>
      <c r="G72" s="378"/>
      <c r="H72" s="378"/>
      <c r="I72" s="378"/>
      <c r="J72" s="378"/>
      <c r="K72" s="314"/>
    </row>
    <row r="73" spans="1:20" ht="17.25" customHeight="1">
      <c r="A73" s="373" t="s">
        <v>36</v>
      </c>
      <c r="B73" s="373"/>
      <c r="C73" s="373"/>
      <c r="D73" s="373"/>
      <c r="E73" s="373"/>
      <c r="F73" s="373"/>
      <c r="G73" s="373"/>
      <c r="H73" s="373"/>
      <c r="I73" s="373"/>
      <c r="J73" s="373"/>
      <c r="K73" s="265">
        <f>ROUND(SUM(K63:K72),2)</f>
        <v>748.52</v>
      </c>
    </row>
    <row r="74" spans="1:20" ht="17.25" customHeight="1">
      <c r="A74" s="390" t="s">
        <v>37</v>
      </c>
      <c r="B74" s="390"/>
      <c r="C74" s="390"/>
      <c r="D74" s="390"/>
      <c r="E74" s="390"/>
      <c r="F74" s="390"/>
      <c r="G74" s="390"/>
      <c r="H74" s="390"/>
      <c r="I74" s="390"/>
      <c r="J74" s="390"/>
      <c r="K74" s="263">
        <f>ROUND(SUM(K73,K59,K43),2)</f>
        <v>1806.51</v>
      </c>
    </row>
    <row r="75" spans="1:20" ht="6.75" customHeight="1">
      <c r="A75" s="408"/>
      <c r="B75" s="408"/>
      <c r="C75" s="408"/>
      <c r="D75" s="408"/>
      <c r="E75" s="408"/>
      <c r="F75" s="408"/>
      <c r="G75" s="408"/>
      <c r="H75" s="408"/>
      <c r="I75" s="408"/>
      <c r="J75" s="408"/>
      <c r="K75" s="408"/>
    </row>
    <row r="76" spans="1:20" ht="17.25" customHeight="1">
      <c r="A76" s="407" t="s">
        <v>38</v>
      </c>
      <c r="B76" s="407"/>
      <c r="C76" s="407"/>
      <c r="D76" s="407"/>
      <c r="E76" s="407"/>
      <c r="F76" s="407"/>
      <c r="G76" s="407"/>
      <c r="H76" s="407"/>
      <c r="I76" s="407"/>
      <c r="J76" s="407"/>
      <c r="K76" s="407"/>
      <c r="M76" s="385"/>
      <c r="N76" s="385"/>
      <c r="O76" s="385"/>
      <c r="P76" s="385"/>
      <c r="Q76" s="385"/>
      <c r="R76" s="385"/>
      <c r="S76" s="385"/>
      <c r="T76" s="385"/>
    </row>
    <row r="77" spans="1:20" ht="17.25" customHeight="1">
      <c r="A77" s="373" t="s">
        <v>250</v>
      </c>
      <c r="B77" s="373"/>
      <c r="C77" s="373"/>
      <c r="D77" s="373"/>
      <c r="E77" s="373"/>
      <c r="F77" s="373"/>
      <c r="G77" s="373"/>
      <c r="H77" s="373"/>
      <c r="I77" s="373"/>
      <c r="J77" s="373"/>
      <c r="K77" s="373"/>
      <c r="M77" s="385"/>
      <c r="N77" s="385"/>
      <c r="O77" s="385"/>
      <c r="P77" s="385"/>
      <c r="Q77" s="385"/>
      <c r="R77" s="385"/>
      <c r="S77" s="385"/>
      <c r="T77" s="385"/>
    </row>
    <row r="78" spans="1:20" ht="17.25" customHeight="1">
      <c r="A78" s="374" t="s">
        <v>68</v>
      </c>
      <c r="B78" s="374"/>
      <c r="C78" s="374"/>
      <c r="D78" s="374"/>
      <c r="E78" s="374"/>
      <c r="F78" s="374"/>
      <c r="G78" s="374"/>
      <c r="H78" s="374"/>
      <c r="I78" s="374"/>
      <c r="J78" s="374"/>
      <c r="K78" s="272">
        <f>K35</f>
        <v>1668.89</v>
      </c>
      <c r="M78" s="385"/>
      <c r="N78" s="385"/>
      <c r="O78" s="385"/>
      <c r="P78" s="385"/>
      <c r="Q78" s="385"/>
      <c r="R78" s="385"/>
      <c r="S78" s="385"/>
      <c r="T78" s="385"/>
    </row>
    <row r="79" spans="1:20" ht="17.25" customHeight="1">
      <c r="A79" s="374" t="s">
        <v>251</v>
      </c>
      <c r="B79" s="374"/>
      <c r="C79" s="374"/>
      <c r="D79" s="374"/>
      <c r="E79" s="374"/>
      <c r="F79" s="374"/>
      <c r="G79" s="374"/>
      <c r="H79" s="374"/>
      <c r="I79" s="374"/>
      <c r="J79" s="374"/>
      <c r="K79" s="272">
        <f>K43</f>
        <v>324.44</v>
      </c>
      <c r="M79" s="385"/>
      <c r="N79" s="385"/>
      <c r="O79" s="385"/>
      <c r="P79" s="385"/>
      <c r="Q79" s="385"/>
      <c r="R79" s="385"/>
      <c r="S79" s="385"/>
      <c r="T79" s="385"/>
    </row>
    <row r="80" spans="1:20" ht="17.25" customHeight="1">
      <c r="A80" s="374" t="s">
        <v>848</v>
      </c>
      <c r="B80" s="374"/>
      <c r="C80" s="374"/>
      <c r="D80" s="374"/>
      <c r="E80" s="374"/>
      <c r="F80" s="374"/>
      <c r="G80" s="374"/>
      <c r="H80" s="374"/>
      <c r="I80" s="374"/>
      <c r="J80" s="374"/>
      <c r="K80" s="272">
        <f>K58</f>
        <v>159.47</v>
      </c>
      <c r="M80" s="385"/>
      <c r="N80" s="385"/>
      <c r="O80" s="385"/>
      <c r="P80" s="385"/>
      <c r="Q80" s="385"/>
      <c r="R80" s="385"/>
      <c r="S80" s="385"/>
      <c r="T80" s="385"/>
    </row>
    <row r="81" spans="1:20" ht="17.25" customHeight="1">
      <c r="A81" s="374" t="s">
        <v>30</v>
      </c>
      <c r="B81" s="374"/>
      <c r="C81" s="374"/>
      <c r="D81" s="374"/>
      <c r="E81" s="374"/>
      <c r="F81" s="374"/>
      <c r="G81" s="374"/>
      <c r="H81" s="374"/>
      <c r="I81" s="374"/>
      <c r="J81" s="374"/>
      <c r="K81" s="272">
        <f>K73</f>
        <v>748.52</v>
      </c>
      <c r="M81" s="385"/>
      <c r="N81" s="385"/>
      <c r="O81" s="385"/>
      <c r="P81" s="385"/>
      <c r="Q81" s="385"/>
      <c r="R81" s="385"/>
      <c r="S81" s="385"/>
      <c r="T81" s="385"/>
    </row>
    <row r="82" spans="1:20" ht="17.25" customHeight="1">
      <c r="A82" s="374" t="s">
        <v>849</v>
      </c>
      <c r="B82" s="374"/>
      <c r="C82" s="374"/>
      <c r="D82" s="374"/>
      <c r="E82" s="374"/>
      <c r="F82" s="374"/>
      <c r="G82" s="374"/>
      <c r="H82" s="374"/>
      <c r="I82" s="374"/>
      <c r="J82" s="374"/>
      <c r="K82" s="272">
        <f>SUM(K78:K81)</f>
        <v>2901.32</v>
      </c>
      <c r="M82" s="385"/>
      <c r="N82" s="385"/>
      <c r="O82" s="385"/>
      <c r="P82" s="385"/>
      <c r="Q82" s="385"/>
      <c r="R82" s="385"/>
      <c r="S82" s="385"/>
      <c r="T82" s="385"/>
    </row>
    <row r="83" spans="1:20" ht="17.25" customHeight="1">
      <c r="A83" s="374" t="s">
        <v>252</v>
      </c>
      <c r="B83" s="374"/>
      <c r="C83" s="374"/>
      <c r="D83" s="374"/>
      <c r="E83" s="374"/>
      <c r="F83" s="374"/>
      <c r="G83" s="374"/>
      <c r="H83" s="374"/>
      <c r="I83" s="374"/>
      <c r="J83" s="374"/>
      <c r="K83" s="272">
        <f>ROUND(K82/12,2)</f>
        <v>241.78</v>
      </c>
      <c r="M83" s="385"/>
      <c r="N83" s="385"/>
      <c r="O83" s="385"/>
      <c r="P83" s="385"/>
      <c r="Q83" s="385"/>
      <c r="R83" s="385"/>
      <c r="S83" s="385"/>
      <c r="T83" s="385"/>
    </row>
    <row r="84" spans="1:20" ht="17.25" customHeight="1">
      <c r="A84" s="374" t="s">
        <v>850</v>
      </c>
      <c r="B84" s="374"/>
      <c r="C84" s="374"/>
      <c r="D84" s="374"/>
      <c r="E84" s="374"/>
      <c r="F84" s="374"/>
      <c r="G84" s="374"/>
      <c r="H84" s="374"/>
      <c r="I84" s="374"/>
      <c r="J84" s="374"/>
      <c r="K84" s="272">
        <f>ROUND(K80*40%,2)</f>
        <v>63.79</v>
      </c>
      <c r="M84" s="385"/>
      <c r="N84" s="385"/>
      <c r="O84" s="385"/>
      <c r="P84" s="385"/>
      <c r="Q84" s="385"/>
      <c r="R84" s="385"/>
      <c r="S84" s="385"/>
      <c r="T84" s="385"/>
    </row>
    <row r="85" spans="1:20" ht="17.25" customHeight="1">
      <c r="A85" s="377" t="s">
        <v>253</v>
      </c>
      <c r="B85" s="377"/>
      <c r="C85" s="377"/>
      <c r="D85" s="377"/>
      <c r="E85" s="377"/>
      <c r="F85" s="377"/>
      <c r="G85" s="377"/>
      <c r="H85" s="377"/>
      <c r="I85" s="377"/>
      <c r="J85" s="377"/>
      <c r="K85" s="315">
        <f>ROUND(K83+K84,2)</f>
        <v>305.57</v>
      </c>
      <c r="M85" s="385"/>
      <c r="N85" s="385"/>
      <c r="O85" s="385"/>
      <c r="P85" s="385"/>
      <c r="Q85" s="385"/>
      <c r="R85" s="385"/>
      <c r="S85" s="385"/>
      <c r="T85" s="385"/>
    </row>
    <row r="86" spans="1:20" ht="17.25" customHeight="1">
      <c r="A86" s="377" t="s">
        <v>256</v>
      </c>
      <c r="B86" s="377"/>
      <c r="C86" s="377"/>
      <c r="D86" s="377"/>
      <c r="E86" s="377"/>
      <c r="F86" s="377"/>
      <c r="G86" s="377"/>
      <c r="H86" s="410" t="s">
        <v>254</v>
      </c>
      <c r="I86" s="410"/>
      <c r="J86" s="410"/>
      <c r="K86" s="273" t="s">
        <v>255</v>
      </c>
      <c r="M86" s="385"/>
      <c r="N86" s="385"/>
      <c r="O86" s="385"/>
      <c r="P86" s="385"/>
      <c r="Q86" s="385"/>
      <c r="R86" s="385"/>
      <c r="S86" s="385"/>
      <c r="T86" s="385"/>
    </row>
    <row r="87" spans="1:20" ht="17.25" customHeight="1">
      <c r="A87" s="377"/>
      <c r="B87" s="377"/>
      <c r="C87" s="377"/>
      <c r="D87" s="377"/>
      <c r="E87" s="377"/>
      <c r="F87" s="377"/>
      <c r="G87" s="377"/>
      <c r="H87" s="405">
        <v>0.5</v>
      </c>
      <c r="I87" s="405"/>
      <c r="J87" s="405"/>
      <c r="K87" s="315">
        <f>ROUND(H87*K85,2)</f>
        <v>152.79</v>
      </c>
      <c r="M87" s="385"/>
      <c r="N87" s="385"/>
      <c r="O87" s="385"/>
      <c r="P87" s="385"/>
      <c r="Q87" s="385"/>
      <c r="R87" s="385"/>
      <c r="S87" s="385"/>
      <c r="T87" s="385"/>
    </row>
    <row r="88" spans="1:20" ht="17.25" customHeight="1">
      <c r="A88" s="373" t="s">
        <v>851</v>
      </c>
      <c r="B88" s="373"/>
      <c r="C88" s="373"/>
      <c r="D88" s="373"/>
      <c r="E88" s="373"/>
      <c r="F88" s="373"/>
      <c r="G88" s="373"/>
      <c r="H88" s="373"/>
      <c r="I88" s="373"/>
      <c r="J88" s="373"/>
      <c r="K88" s="265">
        <f>ROUND(K87,2)</f>
        <v>152.79</v>
      </c>
      <c r="M88" s="385"/>
      <c r="N88" s="385"/>
      <c r="O88" s="385"/>
      <c r="P88" s="385"/>
      <c r="Q88" s="385"/>
      <c r="R88" s="385"/>
      <c r="S88" s="385"/>
      <c r="T88" s="385"/>
    </row>
    <row r="89" spans="1:20" ht="17.25" customHeight="1">
      <c r="A89" s="464" t="s">
        <v>257</v>
      </c>
      <c r="B89" s="464"/>
      <c r="C89" s="464"/>
      <c r="D89" s="464"/>
      <c r="E89" s="464"/>
      <c r="F89" s="464"/>
      <c r="G89" s="464"/>
      <c r="H89" s="464"/>
      <c r="I89" s="464"/>
      <c r="J89" s="464"/>
      <c r="K89" s="464"/>
      <c r="M89" s="385"/>
      <c r="N89" s="385"/>
      <c r="O89" s="385"/>
      <c r="P89" s="385"/>
      <c r="Q89" s="385"/>
      <c r="R89" s="385"/>
      <c r="S89" s="385"/>
      <c r="T89" s="385"/>
    </row>
    <row r="90" spans="1:20" ht="17.25" customHeight="1">
      <c r="A90" s="374" t="s">
        <v>850</v>
      </c>
      <c r="B90" s="374"/>
      <c r="C90" s="374"/>
      <c r="D90" s="374"/>
      <c r="E90" s="374"/>
      <c r="F90" s="374"/>
      <c r="G90" s="374"/>
      <c r="H90" s="374"/>
      <c r="I90" s="374"/>
      <c r="J90" s="374"/>
      <c r="K90" s="272">
        <f>ROUND(K80*40%,2)</f>
        <v>63.79</v>
      </c>
      <c r="M90" s="385"/>
      <c r="N90" s="385"/>
      <c r="O90" s="385"/>
      <c r="P90" s="385"/>
      <c r="Q90" s="385"/>
      <c r="R90" s="385"/>
      <c r="S90" s="385"/>
      <c r="T90" s="385"/>
    </row>
    <row r="91" spans="1:20" ht="17.25" customHeight="1">
      <c r="A91" s="377" t="s">
        <v>258</v>
      </c>
      <c r="B91" s="377"/>
      <c r="C91" s="377"/>
      <c r="D91" s="377"/>
      <c r="E91" s="377"/>
      <c r="F91" s="377"/>
      <c r="G91" s="377"/>
      <c r="H91" s="377"/>
      <c r="I91" s="377"/>
      <c r="J91" s="377"/>
      <c r="K91" s="315">
        <f>K90</f>
        <v>63.79</v>
      </c>
      <c r="M91" s="385"/>
      <c r="N91" s="385"/>
      <c r="O91" s="385"/>
      <c r="P91" s="385"/>
      <c r="Q91" s="385"/>
      <c r="R91" s="385"/>
      <c r="S91" s="385"/>
      <c r="T91" s="385"/>
    </row>
    <row r="92" spans="1:20" ht="17.25" customHeight="1">
      <c r="A92" s="377" t="s">
        <v>259</v>
      </c>
      <c r="B92" s="377"/>
      <c r="C92" s="377"/>
      <c r="D92" s="377"/>
      <c r="E92" s="377"/>
      <c r="F92" s="377"/>
      <c r="G92" s="377"/>
      <c r="H92" s="410" t="s">
        <v>254</v>
      </c>
      <c r="I92" s="410"/>
      <c r="J92" s="410"/>
      <c r="K92" s="273" t="s">
        <v>255</v>
      </c>
      <c r="M92" s="385"/>
      <c r="N92" s="385"/>
      <c r="O92" s="385"/>
      <c r="P92" s="385"/>
      <c r="Q92" s="385"/>
      <c r="R92" s="385"/>
      <c r="S92" s="385"/>
      <c r="T92" s="385"/>
    </row>
    <row r="93" spans="1:20" ht="17.25" customHeight="1">
      <c r="A93" s="377"/>
      <c r="B93" s="377"/>
      <c r="C93" s="377"/>
      <c r="D93" s="377"/>
      <c r="E93" s="377"/>
      <c r="F93" s="377"/>
      <c r="G93" s="377"/>
      <c r="H93" s="405">
        <v>0.5</v>
      </c>
      <c r="I93" s="405"/>
      <c r="J93" s="405"/>
      <c r="K93" s="315">
        <f>ROUND(H93*K91,2)</f>
        <v>31.9</v>
      </c>
      <c r="M93" s="385"/>
      <c r="N93" s="385"/>
      <c r="O93" s="385"/>
      <c r="P93" s="385"/>
      <c r="Q93" s="385"/>
      <c r="R93" s="385"/>
      <c r="S93" s="385"/>
      <c r="T93" s="385"/>
    </row>
    <row r="94" spans="1:20" ht="17.25" customHeight="1">
      <c r="A94" s="373" t="s">
        <v>852</v>
      </c>
      <c r="B94" s="373"/>
      <c r="C94" s="373"/>
      <c r="D94" s="373"/>
      <c r="E94" s="373"/>
      <c r="F94" s="373"/>
      <c r="G94" s="373"/>
      <c r="H94" s="373"/>
      <c r="I94" s="373"/>
      <c r="J94" s="373"/>
      <c r="K94" s="265">
        <f>ROUND(K93,2)</f>
        <v>31.9</v>
      </c>
      <c r="M94" s="385"/>
      <c r="N94" s="385"/>
      <c r="O94" s="385"/>
      <c r="P94" s="385"/>
      <c r="Q94" s="385"/>
      <c r="R94" s="385"/>
      <c r="S94" s="385"/>
      <c r="T94" s="385"/>
    </row>
    <row r="95" spans="1:20" ht="17.25" customHeight="1">
      <c r="A95" s="464" t="s">
        <v>878</v>
      </c>
      <c r="B95" s="464"/>
      <c r="C95" s="464"/>
      <c r="D95" s="464"/>
      <c r="E95" s="464"/>
      <c r="F95" s="464"/>
      <c r="G95" s="464"/>
      <c r="H95" s="464"/>
      <c r="I95" s="464"/>
      <c r="J95" s="464"/>
      <c r="K95" s="464"/>
      <c r="M95" s="385"/>
      <c r="N95" s="385"/>
      <c r="O95" s="385"/>
      <c r="P95" s="385"/>
      <c r="Q95" s="385"/>
      <c r="R95" s="385"/>
      <c r="S95" s="385"/>
      <c r="T95" s="385"/>
    </row>
    <row r="96" spans="1:20" ht="17.25" customHeight="1">
      <c r="A96" s="465" t="s">
        <v>882</v>
      </c>
      <c r="B96" s="465"/>
      <c r="C96" s="465"/>
      <c r="D96" s="465"/>
      <c r="E96" s="465"/>
      <c r="F96" s="465"/>
      <c r="G96" s="465"/>
      <c r="H96" s="465"/>
      <c r="I96" s="465"/>
      <c r="J96" s="465"/>
      <c r="K96" s="272">
        <f>K88+K94</f>
        <v>184.69</v>
      </c>
      <c r="M96" s="385"/>
      <c r="N96" s="385"/>
      <c r="O96" s="385"/>
      <c r="P96" s="385"/>
      <c r="Q96" s="385"/>
      <c r="R96" s="385"/>
      <c r="S96" s="385"/>
      <c r="T96" s="385"/>
    </row>
    <row r="97" spans="1:20" ht="17.25" customHeight="1">
      <c r="A97" s="465" t="s">
        <v>883</v>
      </c>
      <c r="B97" s="465"/>
      <c r="C97" s="465"/>
      <c r="D97" s="465"/>
      <c r="E97" s="465"/>
      <c r="F97" s="465"/>
      <c r="G97" s="465"/>
      <c r="H97" s="465"/>
      <c r="I97" s="465"/>
      <c r="J97" s="465"/>
      <c r="K97" s="272">
        <f>K96/10</f>
        <v>18.469000000000001</v>
      </c>
      <c r="M97" s="385"/>
      <c r="N97" s="385"/>
      <c r="O97" s="385"/>
      <c r="P97" s="385"/>
      <c r="Q97" s="385"/>
      <c r="R97" s="385"/>
      <c r="S97" s="385"/>
      <c r="T97" s="385"/>
    </row>
    <row r="98" spans="1:20" ht="32.25" customHeight="1">
      <c r="A98" s="377" t="s">
        <v>853</v>
      </c>
      <c r="B98" s="377"/>
      <c r="C98" s="377"/>
      <c r="D98" s="377"/>
      <c r="E98" s="377"/>
      <c r="F98" s="377"/>
      <c r="G98" s="377"/>
      <c r="H98" s="466" t="s">
        <v>854</v>
      </c>
      <c r="I98" s="466"/>
      <c r="J98" s="466"/>
      <c r="K98" s="273" t="s">
        <v>255</v>
      </c>
      <c r="M98" s="385"/>
      <c r="N98" s="385"/>
      <c r="O98" s="385"/>
      <c r="P98" s="385"/>
      <c r="Q98" s="385"/>
      <c r="R98" s="385"/>
      <c r="S98" s="385"/>
      <c r="T98" s="385"/>
    </row>
    <row r="99" spans="1:20" ht="17.25" customHeight="1">
      <c r="A99" s="377"/>
      <c r="B99" s="377"/>
      <c r="C99" s="377"/>
      <c r="D99" s="377"/>
      <c r="E99" s="377"/>
      <c r="F99" s="377"/>
      <c r="G99" s="377"/>
      <c r="H99" s="467">
        <v>0</v>
      </c>
      <c r="I99" s="467"/>
      <c r="J99" s="467"/>
      <c r="K99" s="315">
        <f>ROUND(3*K97*H99,2)</f>
        <v>0</v>
      </c>
      <c r="M99" s="385"/>
      <c r="N99" s="385"/>
      <c r="O99" s="385"/>
      <c r="P99" s="385"/>
      <c r="Q99" s="385"/>
      <c r="R99" s="385"/>
      <c r="S99" s="385"/>
      <c r="T99" s="385"/>
    </row>
    <row r="100" spans="1:20" ht="17.25" customHeight="1">
      <c r="A100" s="373" t="s">
        <v>855</v>
      </c>
      <c r="B100" s="373"/>
      <c r="C100" s="373"/>
      <c r="D100" s="373"/>
      <c r="E100" s="373"/>
      <c r="F100" s="373"/>
      <c r="G100" s="373"/>
      <c r="H100" s="373"/>
      <c r="I100" s="373"/>
      <c r="J100" s="373"/>
      <c r="K100" s="265">
        <f>K99</f>
        <v>0</v>
      </c>
      <c r="M100" s="385"/>
      <c r="N100" s="385"/>
      <c r="O100" s="385"/>
      <c r="P100" s="385"/>
      <c r="Q100" s="385"/>
      <c r="R100" s="385"/>
      <c r="S100" s="385"/>
      <c r="T100" s="385"/>
    </row>
    <row r="101" spans="1:20" ht="17.25" customHeight="1">
      <c r="A101" s="468" t="s">
        <v>43</v>
      </c>
      <c r="B101" s="468"/>
      <c r="C101" s="468"/>
      <c r="D101" s="468"/>
      <c r="E101" s="468"/>
      <c r="F101" s="468"/>
      <c r="G101" s="468"/>
      <c r="H101" s="468"/>
      <c r="I101" s="468"/>
      <c r="J101" s="468"/>
      <c r="K101" s="274">
        <f>K88+K94+K100</f>
        <v>184.69</v>
      </c>
      <c r="M101" s="385"/>
      <c r="N101" s="385"/>
      <c r="O101" s="385"/>
      <c r="P101" s="385"/>
      <c r="Q101" s="385"/>
      <c r="R101" s="385"/>
      <c r="S101" s="385"/>
      <c r="T101" s="385"/>
    </row>
    <row r="102" spans="1:20" ht="11.25" customHeight="1">
      <c r="A102" s="408"/>
      <c r="B102" s="408"/>
      <c r="C102" s="408"/>
      <c r="D102" s="408"/>
      <c r="E102" s="408"/>
      <c r="F102" s="408"/>
      <c r="G102" s="408"/>
      <c r="H102" s="408"/>
      <c r="I102" s="408"/>
      <c r="J102" s="408"/>
      <c r="K102" s="408"/>
      <c r="M102" s="385"/>
      <c r="N102" s="385"/>
      <c r="O102" s="385"/>
      <c r="P102" s="385"/>
      <c r="Q102" s="385"/>
      <c r="R102" s="385"/>
      <c r="S102" s="385"/>
      <c r="T102" s="385"/>
    </row>
    <row r="103" spans="1:20" ht="17.25" customHeight="1">
      <c r="A103" s="390" t="s">
        <v>44</v>
      </c>
      <c r="B103" s="390"/>
      <c r="C103" s="390"/>
      <c r="D103" s="390"/>
      <c r="E103" s="390"/>
      <c r="F103" s="390"/>
      <c r="G103" s="390"/>
      <c r="H103" s="390"/>
      <c r="I103" s="390"/>
      <c r="J103" s="390"/>
      <c r="K103" s="390"/>
      <c r="M103" s="385"/>
      <c r="N103" s="385"/>
      <c r="O103" s="385"/>
      <c r="P103" s="385"/>
      <c r="Q103" s="385"/>
      <c r="R103" s="385"/>
      <c r="S103" s="385"/>
      <c r="T103" s="385"/>
    </row>
    <row r="104" spans="1:20" ht="17.25" customHeight="1">
      <c r="A104" s="373" t="s">
        <v>85</v>
      </c>
      <c r="B104" s="373"/>
      <c r="C104" s="373"/>
      <c r="D104" s="373"/>
      <c r="E104" s="373"/>
      <c r="F104" s="373"/>
      <c r="G104" s="373"/>
      <c r="H104" s="373"/>
      <c r="I104" s="373"/>
      <c r="J104" s="373"/>
      <c r="K104" s="373"/>
      <c r="M104" s="385"/>
      <c r="N104" s="385"/>
      <c r="O104" s="385"/>
      <c r="P104" s="385"/>
      <c r="Q104" s="385"/>
      <c r="R104" s="385"/>
      <c r="S104" s="385"/>
      <c r="T104" s="385"/>
    </row>
    <row r="105" spans="1:20" ht="17.25" customHeight="1">
      <c r="A105" s="373" t="s">
        <v>856</v>
      </c>
      <c r="B105" s="373"/>
      <c r="C105" s="373"/>
      <c r="D105" s="373"/>
      <c r="E105" s="373"/>
      <c r="F105" s="373"/>
      <c r="G105" s="373"/>
      <c r="H105" s="373"/>
      <c r="I105" s="373"/>
      <c r="J105" s="373"/>
      <c r="K105" s="373"/>
      <c r="M105" s="385"/>
      <c r="N105" s="385"/>
      <c r="O105" s="385"/>
      <c r="P105" s="385"/>
      <c r="Q105" s="385"/>
      <c r="R105" s="385"/>
      <c r="S105" s="385"/>
      <c r="T105" s="385"/>
    </row>
    <row r="106" spans="1:20" ht="42" customHeight="1">
      <c r="A106" s="373" t="s">
        <v>857</v>
      </c>
      <c r="B106" s="373"/>
      <c r="C106" s="373"/>
      <c r="D106" s="373"/>
      <c r="E106" s="373"/>
      <c r="F106" s="311" t="s">
        <v>858</v>
      </c>
      <c r="G106" s="275" t="s">
        <v>859</v>
      </c>
      <c r="H106" s="373" t="s">
        <v>860</v>
      </c>
      <c r="I106" s="373"/>
      <c r="J106" s="373"/>
      <c r="K106" s="311" t="s">
        <v>861</v>
      </c>
      <c r="M106" s="385"/>
      <c r="N106" s="385"/>
      <c r="O106" s="385"/>
      <c r="P106" s="385"/>
      <c r="Q106" s="385"/>
      <c r="R106" s="385"/>
      <c r="S106" s="385"/>
      <c r="T106" s="385"/>
    </row>
    <row r="107" spans="1:20" ht="17.25" customHeight="1">
      <c r="A107" s="377" t="s">
        <v>862</v>
      </c>
      <c r="B107" s="377"/>
      <c r="C107" s="377"/>
      <c r="D107" s="377"/>
      <c r="E107" s="377"/>
      <c r="F107" s="283">
        <v>1</v>
      </c>
      <c r="G107" s="313">
        <v>30</v>
      </c>
      <c r="H107" s="469">
        <f>255/365</f>
        <v>0.69863013698630139</v>
      </c>
      <c r="I107" s="469"/>
      <c r="J107" s="469"/>
      <c r="K107" s="276">
        <f>ROUND(F107*G107*H107,4)</f>
        <v>20.9589</v>
      </c>
      <c r="M107" s="385"/>
      <c r="N107" s="385"/>
      <c r="O107" s="385"/>
      <c r="P107" s="385"/>
      <c r="Q107" s="385"/>
      <c r="R107" s="385"/>
      <c r="S107" s="385"/>
      <c r="T107" s="385"/>
    </row>
    <row r="108" spans="1:20" ht="17.25" customHeight="1">
      <c r="A108" s="377" t="s">
        <v>863</v>
      </c>
      <c r="B108" s="377"/>
      <c r="C108" s="377"/>
      <c r="D108" s="377"/>
      <c r="E108" s="377"/>
      <c r="F108" s="283">
        <v>1</v>
      </c>
      <c r="G108" s="313">
        <v>1</v>
      </c>
      <c r="H108" s="469">
        <v>1</v>
      </c>
      <c r="I108" s="469"/>
      <c r="J108" s="469"/>
      <c r="K108" s="276">
        <f t="shared" ref="K108:K118" si="1">ROUND(F108*G108*H108,4)</f>
        <v>1</v>
      </c>
      <c r="M108" s="385"/>
      <c r="N108" s="385"/>
      <c r="O108" s="385"/>
      <c r="P108" s="385"/>
      <c r="Q108" s="385"/>
      <c r="R108" s="385"/>
      <c r="S108" s="385"/>
      <c r="T108" s="385"/>
    </row>
    <row r="109" spans="1:20" ht="17.25" customHeight="1">
      <c r="A109" s="377" t="s">
        <v>864</v>
      </c>
      <c r="B109" s="377"/>
      <c r="C109" s="377"/>
      <c r="D109" s="377"/>
      <c r="E109" s="377"/>
      <c r="F109" s="283">
        <v>9.2200000000000004E-2</v>
      </c>
      <c r="G109" s="313">
        <v>15</v>
      </c>
      <c r="H109" s="469">
        <f>255/365</f>
        <v>0.69863013698630139</v>
      </c>
      <c r="I109" s="469"/>
      <c r="J109" s="469"/>
      <c r="K109" s="276">
        <f t="shared" si="1"/>
        <v>0.96619999999999995</v>
      </c>
      <c r="M109" s="385"/>
      <c r="N109" s="385"/>
      <c r="O109" s="385"/>
      <c r="P109" s="385"/>
      <c r="Q109" s="385"/>
      <c r="R109" s="385"/>
      <c r="S109" s="385"/>
      <c r="T109" s="385"/>
    </row>
    <row r="110" spans="1:20" ht="17.25" customHeight="1">
      <c r="A110" s="377" t="s">
        <v>865</v>
      </c>
      <c r="B110" s="377"/>
      <c r="C110" s="377"/>
      <c r="D110" s="377"/>
      <c r="E110" s="377"/>
      <c r="F110" s="283">
        <v>1</v>
      </c>
      <c r="G110" s="313">
        <v>5</v>
      </c>
      <c r="H110" s="469">
        <f>255/365</f>
        <v>0.69863013698630139</v>
      </c>
      <c r="I110" s="469"/>
      <c r="J110" s="469"/>
      <c r="K110" s="276">
        <f t="shared" si="1"/>
        <v>3.4931999999999999</v>
      </c>
      <c r="M110" s="385"/>
      <c r="N110" s="385"/>
      <c r="O110" s="385"/>
      <c r="P110" s="385"/>
      <c r="Q110" s="385"/>
      <c r="R110" s="385"/>
      <c r="S110" s="385"/>
      <c r="T110" s="385"/>
    </row>
    <row r="111" spans="1:20" ht="17.25" customHeight="1">
      <c r="A111" s="377" t="s">
        <v>866</v>
      </c>
      <c r="B111" s="377"/>
      <c r="C111" s="377"/>
      <c r="D111" s="377"/>
      <c r="E111" s="377"/>
      <c r="F111" s="283">
        <v>0.13439999999999999</v>
      </c>
      <c r="G111" s="313">
        <v>2</v>
      </c>
      <c r="H111" s="469">
        <v>1</v>
      </c>
      <c r="I111" s="469"/>
      <c r="J111" s="469"/>
      <c r="K111" s="276">
        <f t="shared" si="1"/>
        <v>0.26879999999999998</v>
      </c>
      <c r="M111" s="385"/>
      <c r="N111" s="385"/>
      <c r="O111" s="385"/>
      <c r="P111" s="385"/>
      <c r="Q111" s="385"/>
      <c r="R111" s="385"/>
      <c r="S111" s="385"/>
      <c r="T111" s="385"/>
    </row>
    <row r="112" spans="1:20" ht="17.25" customHeight="1">
      <c r="A112" s="377" t="s">
        <v>867</v>
      </c>
      <c r="B112" s="377"/>
      <c r="C112" s="377"/>
      <c r="D112" s="377"/>
      <c r="E112" s="377"/>
      <c r="F112" s="283">
        <v>3.0499999999999999E-2</v>
      </c>
      <c r="G112" s="313">
        <v>2</v>
      </c>
      <c r="H112" s="469">
        <f>255/365</f>
        <v>0.69863013698630139</v>
      </c>
      <c r="I112" s="469"/>
      <c r="J112" s="469"/>
      <c r="K112" s="276">
        <f t="shared" si="1"/>
        <v>4.2599999999999999E-2</v>
      </c>
      <c r="M112" s="385"/>
      <c r="N112" s="385"/>
      <c r="O112" s="385"/>
      <c r="P112" s="385"/>
      <c r="Q112" s="385"/>
      <c r="R112" s="385"/>
      <c r="S112" s="385"/>
      <c r="T112" s="385"/>
    </row>
    <row r="113" spans="1:20" ht="17.25" customHeight="1">
      <c r="A113" s="377" t="s">
        <v>868</v>
      </c>
      <c r="B113" s="377"/>
      <c r="C113" s="377"/>
      <c r="D113" s="377"/>
      <c r="E113" s="377"/>
      <c r="F113" s="283">
        <v>1.18E-2</v>
      </c>
      <c r="G113" s="313">
        <v>3</v>
      </c>
      <c r="H113" s="469">
        <v>1</v>
      </c>
      <c r="I113" s="469"/>
      <c r="J113" s="469"/>
      <c r="K113" s="276">
        <f t="shared" si="1"/>
        <v>3.5400000000000001E-2</v>
      </c>
      <c r="M113" s="385"/>
      <c r="N113" s="385"/>
      <c r="O113" s="385"/>
      <c r="P113" s="385"/>
      <c r="Q113" s="385"/>
      <c r="R113" s="385"/>
      <c r="S113" s="385"/>
      <c r="T113" s="385"/>
    </row>
    <row r="114" spans="1:20" ht="17.25" customHeight="1">
      <c r="A114" s="377" t="s">
        <v>869</v>
      </c>
      <c r="B114" s="377"/>
      <c r="C114" s="377"/>
      <c r="D114" s="377"/>
      <c r="E114" s="377"/>
      <c r="F114" s="283">
        <v>0.02</v>
      </c>
      <c r="G114" s="313">
        <v>1</v>
      </c>
      <c r="H114" s="469">
        <v>1</v>
      </c>
      <c r="I114" s="469"/>
      <c r="J114" s="469"/>
      <c r="K114" s="276">
        <f t="shared" si="1"/>
        <v>0.02</v>
      </c>
      <c r="M114" s="385"/>
      <c r="N114" s="385"/>
      <c r="O114" s="385"/>
      <c r="P114" s="385"/>
      <c r="Q114" s="385"/>
      <c r="R114" s="385"/>
      <c r="S114" s="385"/>
      <c r="T114" s="385"/>
    </row>
    <row r="115" spans="1:20" ht="17.25" customHeight="1">
      <c r="A115" s="377" t="s">
        <v>870</v>
      </c>
      <c r="B115" s="377"/>
      <c r="C115" s="377"/>
      <c r="D115" s="377"/>
      <c r="E115" s="377"/>
      <c r="F115" s="283">
        <v>4.0000000000000001E-3</v>
      </c>
      <c r="G115" s="313">
        <v>1</v>
      </c>
      <c r="H115" s="469">
        <v>1</v>
      </c>
      <c r="I115" s="469"/>
      <c r="J115" s="469"/>
      <c r="K115" s="276">
        <f t="shared" si="1"/>
        <v>4.0000000000000001E-3</v>
      </c>
      <c r="M115" s="385"/>
      <c r="N115" s="385"/>
      <c r="O115" s="385"/>
      <c r="P115" s="385"/>
      <c r="Q115" s="385"/>
      <c r="R115" s="385"/>
      <c r="S115" s="385"/>
      <c r="T115" s="385"/>
    </row>
    <row r="116" spans="1:20" ht="17.25" customHeight="1">
      <c r="A116" s="377" t="s">
        <v>871</v>
      </c>
      <c r="B116" s="377"/>
      <c r="C116" s="377"/>
      <c r="D116" s="377"/>
      <c r="E116" s="377"/>
      <c r="F116" s="283">
        <v>1.43E-2</v>
      </c>
      <c r="G116" s="313">
        <v>20</v>
      </c>
      <c r="H116" s="469">
        <f>255/365</f>
        <v>0.69863013698630139</v>
      </c>
      <c r="I116" s="469"/>
      <c r="J116" s="469"/>
      <c r="K116" s="276">
        <f t="shared" si="1"/>
        <v>0.19980000000000001</v>
      </c>
      <c r="M116" s="385"/>
      <c r="N116" s="385"/>
      <c r="O116" s="385"/>
      <c r="P116" s="385"/>
      <c r="Q116" s="385"/>
      <c r="R116" s="385"/>
      <c r="S116" s="385"/>
      <c r="T116" s="385"/>
    </row>
    <row r="117" spans="1:20" ht="17.25" customHeight="1">
      <c r="A117" s="377" t="s">
        <v>872</v>
      </c>
      <c r="B117" s="377"/>
      <c r="C117" s="377"/>
      <c r="D117" s="377"/>
      <c r="E117" s="377"/>
      <c r="F117" s="283">
        <v>1.9699999999999999E-2</v>
      </c>
      <c r="G117" s="313">
        <v>180</v>
      </c>
      <c r="H117" s="469">
        <f>255/365</f>
        <v>0.69863013698630139</v>
      </c>
      <c r="I117" s="469"/>
      <c r="J117" s="469"/>
      <c r="K117" s="276">
        <f t="shared" si="1"/>
        <v>2.4773000000000001</v>
      </c>
      <c r="M117" s="385"/>
      <c r="N117" s="385"/>
      <c r="O117" s="385"/>
      <c r="P117" s="385"/>
      <c r="Q117" s="385"/>
      <c r="R117" s="385"/>
      <c r="S117" s="385"/>
      <c r="T117" s="385"/>
    </row>
    <row r="118" spans="1:20" ht="17.25" customHeight="1">
      <c r="A118" s="377" t="s">
        <v>873</v>
      </c>
      <c r="B118" s="377"/>
      <c r="C118" s="377"/>
      <c r="D118" s="377"/>
      <c r="E118" s="377"/>
      <c r="F118" s="283">
        <v>1.6000000000000001E-3</v>
      </c>
      <c r="G118" s="313">
        <v>6</v>
      </c>
      <c r="H118" s="469">
        <v>1</v>
      </c>
      <c r="I118" s="469"/>
      <c r="J118" s="469"/>
      <c r="K118" s="276">
        <f t="shared" si="1"/>
        <v>9.5999999999999992E-3</v>
      </c>
      <c r="M118" s="385"/>
      <c r="N118" s="385"/>
      <c r="O118" s="385"/>
      <c r="P118" s="385"/>
      <c r="Q118" s="385"/>
      <c r="R118" s="385"/>
      <c r="S118" s="385"/>
      <c r="T118" s="385"/>
    </row>
    <row r="119" spans="1:20" ht="17.25" customHeight="1">
      <c r="A119" s="470" t="s">
        <v>874</v>
      </c>
      <c r="B119" s="470"/>
      <c r="C119" s="470"/>
      <c r="D119" s="470"/>
      <c r="E119" s="470"/>
      <c r="F119" s="470"/>
      <c r="G119" s="470"/>
      <c r="H119" s="470"/>
      <c r="I119" s="470"/>
      <c r="J119" s="470"/>
      <c r="K119" s="277">
        <f>ROUND(SUM(K107:K118),0)</f>
        <v>29</v>
      </c>
      <c r="M119" s="385"/>
      <c r="N119" s="385"/>
      <c r="O119" s="385"/>
      <c r="P119" s="385"/>
      <c r="Q119" s="385"/>
      <c r="R119" s="385"/>
      <c r="S119" s="385"/>
      <c r="T119" s="385"/>
    </row>
    <row r="120" spans="1:20" ht="17.25" customHeight="1">
      <c r="A120" s="374" t="s">
        <v>68</v>
      </c>
      <c r="B120" s="374"/>
      <c r="C120" s="374"/>
      <c r="D120" s="374"/>
      <c r="E120" s="374"/>
      <c r="F120" s="374"/>
      <c r="G120" s="374"/>
      <c r="H120" s="374"/>
      <c r="I120" s="374"/>
      <c r="J120" s="374"/>
      <c r="K120" s="272">
        <f>K35</f>
        <v>1668.89</v>
      </c>
      <c r="M120" s="385"/>
      <c r="N120" s="385"/>
      <c r="O120" s="385"/>
      <c r="P120" s="385"/>
      <c r="Q120" s="385"/>
      <c r="R120" s="385"/>
      <c r="S120" s="385"/>
      <c r="T120" s="385"/>
    </row>
    <row r="121" spans="1:20" ht="17.25" customHeight="1">
      <c r="A121" s="374" t="s">
        <v>69</v>
      </c>
      <c r="B121" s="374"/>
      <c r="C121" s="374"/>
      <c r="D121" s="374"/>
      <c r="E121" s="374"/>
      <c r="F121" s="374"/>
      <c r="G121" s="374"/>
      <c r="H121" s="374"/>
      <c r="I121" s="374"/>
      <c r="J121" s="374"/>
      <c r="K121" s="272">
        <f>K74</f>
        <v>1806.51</v>
      </c>
      <c r="M121" s="385"/>
      <c r="N121" s="385"/>
      <c r="O121" s="385"/>
      <c r="P121" s="385"/>
      <c r="Q121" s="385"/>
      <c r="R121" s="385"/>
      <c r="S121" s="385"/>
      <c r="T121" s="385"/>
    </row>
    <row r="122" spans="1:20" ht="17.25" customHeight="1">
      <c r="A122" s="374" t="s">
        <v>70</v>
      </c>
      <c r="B122" s="374"/>
      <c r="C122" s="374"/>
      <c r="D122" s="374"/>
      <c r="E122" s="374"/>
      <c r="F122" s="374"/>
      <c r="G122" s="374"/>
      <c r="H122" s="374"/>
      <c r="I122" s="374"/>
      <c r="J122" s="374"/>
      <c r="K122" s="272">
        <f>K101</f>
        <v>184.69</v>
      </c>
      <c r="M122" s="385"/>
      <c r="N122" s="385"/>
      <c r="O122" s="385"/>
      <c r="P122" s="385"/>
      <c r="Q122" s="385"/>
      <c r="R122" s="385"/>
      <c r="S122" s="385"/>
      <c r="T122" s="385"/>
    </row>
    <row r="123" spans="1:20" ht="17.25" customHeight="1">
      <c r="A123" s="374" t="s">
        <v>261</v>
      </c>
      <c r="B123" s="374"/>
      <c r="C123" s="374"/>
      <c r="D123" s="374"/>
      <c r="E123" s="374"/>
      <c r="F123" s="374"/>
      <c r="G123" s="374"/>
      <c r="H123" s="374"/>
      <c r="I123" s="374"/>
      <c r="J123" s="374"/>
      <c r="K123" s="272">
        <f>K120+K121+K122</f>
        <v>3660.09</v>
      </c>
      <c r="M123" s="385"/>
      <c r="N123" s="385"/>
      <c r="O123" s="385"/>
      <c r="P123" s="385"/>
      <c r="Q123" s="385"/>
      <c r="R123" s="385"/>
      <c r="S123" s="385"/>
      <c r="T123" s="385"/>
    </row>
    <row r="124" spans="1:20" ht="17.25" customHeight="1">
      <c r="A124" s="374" t="s">
        <v>875</v>
      </c>
      <c r="B124" s="374"/>
      <c r="C124" s="374"/>
      <c r="D124" s="374"/>
      <c r="E124" s="374"/>
      <c r="F124" s="374"/>
      <c r="G124" s="374"/>
      <c r="H124" s="374"/>
      <c r="I124" s="374"/>
      <c r="J124" s="374"/>
      <c r="K124" s="278">
        <f>ROUND(K123/30,2)</f>
        <v>122</v>
      </c>
      <c r="M124" s="385"/>
      <c r="N124" s="385"/>
      <c r="O124" s="385"/>
      <c r="P124" s="385"/>
      <c r="Q124" s="385"/>
      <c r="R124" s="385"/>
      <c r="S124" s="385"/>
      <c r="T124" s="385"/>
    </row>
    <row r="125" spans="1:20" ht="17.25" customHeight="1">
      <c r="A125" s="374" t="s">
        <v>876</v>
      </c>
      <c r="B125" s="374"/>
      <c r="C125" s="374"/>
      <c r="D125" s="374"/>
      <c r="E125" s="374"/>
      <c r="F125" s="374"/>
      <c r="G125" s="374"/>
      <c r="H125" s="374"/>
      <c r="I125" s="374"/>
      <c r="J125" s="374"/>
      <c r="K125" s="278">
        <f>ROUND(K124*K119,2)</f>
        <v>3538</v>
      </c>
      <c r="M125" s="385"/>
      <c r="N125" s="385"/>
      <c r="O125" s="385"/>
      <c r="P125" s="385"/>
      <c r="Q125" s="385"/>
      <c r="R125" s="385"/>
      <c r="S125" s="385"/>
      <c r="T125" s="385"/>
    </row>
    <row r="126" spans="1:20" ht="17.25" customHeight="1">
      <c r="A126" s="374" t="s">
        <v>877</v>
      </c>
      <c r="B126" s="374"/>
      <c r="C126" s="374"/>
      <c r="D126" s="374"/>
      <c r="E126" s="374"/>
      <c r="F126" s="374"/>
      <c r="G126" s="374"/>
      <c r="H126" s="374"/>
      <c r="I126" s="374"/>
      <c r="J126" s="374"/>
      <c r="K126" s="278">
        <f>ROUND(K125/12,2)</f>
        <v>294.83</v>
      </c>
      <c r="M126" s="385"/>
      <c r="N126" s="385"/>
      <c r="O126" s="385"/>
      <c r="P126" s="385"/>
      <c r="Q126" s="385"/>
      <c r="R126" s="385"/>
      <c r="S126" s="385"/>
      <c r="T126" s="385"/>
    </row>
    <row r="127" spans="1:20" ht="17.25" customHeight="1">
      <c r="A127" s="373" t="s">
        <v>49</v>
      </c>
      <c r="B127" s="373"/>
      <c r="C127" s="373"/>
      <c r="D127" s="373"/>
      <c r="E127" s="373"/>
      <c r="F127" s="373"/>
      <c r="G127" s="373"/>
      <c r="H127" s="373"/>
      <c r="I127" s="373"/>
      <c r="J127" s="373"/>
      <c r="K127" s="265">
        <f>K126</f>
        <v>294.83</v>
      </c>
      <c r="M127" s="385"/>
      <c r="N127" s="385"/>
      <c r="O127" s="385"/>
      <c r="P127" s="385"/>
      <c r="Q127" s="385"/>
      <c r="R127" s="385"/>
      <c r="S127" s="385"/>
      <c r="T127" s="385"/>
    </row>
    <row r="128" spans="1:20" s="119" customFormat="1" ht="5.25" customHeight="1">
      <c r="A128" s="393"/>
      <c r="B128" s="393"/>
      <c r="C128" s="393"/>
      <c r="D128" s="393"/>
      <c r="E128" s="393"/>
      <c r="F128" s="393"/>
      <c r="G128" s="393"/>
      <c r="H128" s="393"/>
      <c r="I128" s="393"/>
      <c r="J128" s="393"/>
      <c r="K128" s="393"/>
      <c r="M128" s="116"/>
      <c r="N128" s="116"/>
      <c r="O128" s="116"/>
      <c r="P128" s="116"/>
      <c r="Q128" s="116"/>
      <c r="R128" s="116"/>
      <c r="S128" s="116"/>
      <c r="T128" s="116"/>
    </row>
    <row r="129" spans="1:20" ht="17.25" customHeight="1">
      <c r="A129" s="410" t="s">
        <v>92</v>
      </c>
      <c r="B129" s="410"/>
      <c r="C129" s="410"/>
      <c r="D129" s="410"/>
      <c r="E129" s="410"/>
      <c r="F129" s="410"/>
      <c r="G129" s="410"/>
      <c r="H129" s="410"/>
      <c r="I129" s="410"/>
      <c r="J129" s="410"/>
      <c r="K129" s="410"/>
    </row>
    <row r="130" spans="1:20" ht="17.25" customHeight="1">
      <c r="A130" s="412"/>
      <c r="B130" s="412"/>
      <c r="C130" s="412"/>
      <c r="D130" s="412"/>
      <c r="E130" s="412"/>
      <c r="F130" s="412"/>
      <c r="G130" s="412"/>
      <c r="H130" s="412"/>
      <c r="I130" s="412"/>
      <c r="J130" s="412"/>
      <c r="K130" s="316" t="s">
        <v>20</v>
      </c>
    </row>
    <row r="131" spans="1:20" ht="17.25" customHeight="1">
      <c r="A131" s="313" t="s">
        <v>1</v>
      </c>
      <c r="B131" s="380" t="s">
        <v>93</v>
      </c>
      <c r="C131" s="380"/>
      <c r="D131" s="380"/>
      <c r="E131" s="380"/>
      <c r="F131" s="380"/>
      <c r="G131" s="380"/>
      <c r="H131" s="380"/>
      <c r="I131" s="380"/>
      <c r="J131" s="380"/>
      <c r="K131" s="315">
        <v>0</v>
      </c>
    </row>
    <row r="132" spans="1:20" ht="17.25" customHeight="1">
      <c r="A132" s="373" t="s">
        <v>50</v>
      </c>
      <c r="B132" s="373"/>
      <c r="C132" s="373"/>
      <c r="D132" s="373"/>
      <c r="E132" s="373"/>
      <c r="F132" s="373"/>
      <c r="G132" s="373"/>
      <c r="H132" s="373"/>
      <c r="I132" s="373"/>
      <c r="J132" s="373"/>
      <c r="K132" s="265">
        <f>K131</f>
        <v>0</v>
      </c>
    </row>
    <row r="133" spans="1:20" ht="5.25" customHeight="1">
      <c r="A133" s="417"/>
      <c r="B133" s="417"/>
      <c r="C133" s="417"/>
      <c r="D133" s="417"/>
      <c r="E133" s="417"/>
      <c r="F133" s="417"/>
      <c r="G133" s="417"/>
      <c r="H133" s="417"/>
      <c r="I133" s="417"/>
      <c r="J133" s="417"/>
      <c r="K133" s="417"/>
    </row>
    <row r="134" spans="1:20" ht="17.25" customHeight="1">
      <c r="A134" s="390" t="s">
        <v>51</v>
      </c>
      <c r="B134" s="390"/>
      <c r="C134" s="390"/>
      <c r="D134" s="390"/>
      <c r="E134" s="390"/>
      <c r="F134" s="390"/>
      <c r="G134" s="390"/>
      <c r="H134" s="390"/>
      <c r="I134" s="390"/>
      <c r="J134" s="390"/>
      <c r="K134" s="263">
        <f>SUM(K127,K132)</f>
        <v>294.83</v>
      </c>
    </row>
    <row r="135" spans="1:20" ht="6.75" customHeight="1">
      <c r="A135" s="408"/>
      <c r="B135" s="408"/>
      <c r="C135" s="408"/>
      <c r="D135" s="408"/>
      <c r="E135" s="408"/>
      <c r="F135" s="408"/>
      <c r="G135" s="408"/>
      <c r="H135" s="408"/>
      <c r="I135" s="408"/>
      <c r="J135" s="408"/>
      <c r="K135" s="408"/>
    </row>
    <row r="136" spans="1:20" ht="17.25" customHeight="1">
      <c r="A136" s="390" t="s">
        <v>52</v>
      </c>
      <c r="B136" s="390"/>
      <c r="C136" s="390"/>
      <c r="D136" s="390"/>
      <c r="E136" s="390"/>
      <c r="F136" s="390"/>
      <c r="G136" s="390"/>
      <c r="H136" s="390"/>
      <c r="I136" s="390"/>
      <c r="J136" s="390"/>
      <c r="K136" s="390"/>
    </row>
    <row r="137" spans="1:20" ht="17.25" customHeight="1">
      <c r="A137" s="313" t="s">
        <v>1</v>
      </c>
      <c r="B137" s="380" t="s">
        <v>188</v>
      </c>
      <c r="C137" s="380"/>
      <c r="D137" s="380"/>
      <c r="E137" s="380"/>
      <c r="F137" s="380"/>
      <c r="G137" s="380"/>
      <c r="H137" s="380"/>
      <c r="I137" s="380"/>
      <c r="J137" s="380"/>
      <c r="K137" s="329">
        <f>Uniformes!H12</f>
        <v>147.11499999999998</v>
      </c>
    </row>
    <row r="138" spans="1:20" ht="17.25" customHeight="1">
      <c r="A138" s="313" t="s">
        <v>3</v>
      </c>
      <c r="B138" s="380" t="s">
        <v>312</v>
      </c>
      <c r="C138" s="380"/>
      <c r="D138" s="380"/>
      <c r="E138" s="380"/>
      <c r="F138" s="380"/>
      <c r="G138" s="380"/>
      <c r="H138" s="380"/>
      <c r="I138" s="380"/>
      <c r="J138" s="380"/>
      <c r="K138" s="329">
        <f>'EPI''s'!I24</f>
        <v>143.94583333333335</v>
      </c>
    </row>
    <row r="139" spans="1:20" ht="17.25" customHeight="1">
      <c r="A139" s="313" t="s">
        <v>5</v>
      </c>
      <c r="B139" s="380" t="s">
        <v>680</v>
      </c>
      <c r="C139" s="380"/>
      <c r="D139" s="380"/>
      <c r="E139" s="380"/>
      <c r="F139" s="380"/>
      <c r="G139" s="380"/>
      <c r="H139" s="380"/>
      <c r="I139" s="380"/>
      <c r="J139" s="380"/>
      <c r="K139" s="329">
        <f>Insumos!H55</f>
        <v>114.59444444444443</v>
      </c>
    </row>
    <row r="140" spans="1:20" ht="17.25" customHeight="1">
      <c r="A140" s="313" t="s">
        <v>6</v>
      </c>
      <c r="B140" s="380" t="s">
        <v>681</v>
      </c>
      <c r="C140" s="380"/>
      <c r="D140" s="380"/>
      <c r="E140" s="380"/>
      <c r="F140" s="380"/>
      <c r="G140" s="380"/>
      <c r="H140" s="380"/>
      <c r="I140" s="380"/>
      <c r="J140" s="380"/>
      <c r="K140" s="329">
        <f>Ferramentas!H112</f>
        <v>480.87833333333339</v>
      </c>
    </row>
    <row r="141" spans="1:20" ht="17.25" customHeight="1">
      <c r="A141" s="313" t="s">
        <v>8</v>
      </c>
      <c r="B141" s="380" t="s">
        <v>682</v>
      </c>
      <c r="C141" s="380"/>
      <c r="D141" s="380"/>
      <c r="E141" s="380"/>
      <c r="F141" s="380"/>
      <c r="G141" s="380"/>
      <c r="H141" s="380"/>
      <c r="I141" s="380"/>
      <c r="J141" s="380"/>
      <c r="K141" s="329">
        <f>Equipamentos!J19</f>
        <v>140.5</v>
      </c>
    </row>
    <row r="142" spans="1:20" ht="17.25" customHeight="1">
      <c r="A142" s="313" t="s">
        <v>10</v>
      </c>
      <c r="B142" s="415" t="s">
        <v>22</v>
      </c>
      <c r="C142" s="415"/>
      <c r="D142" s="415"/>
      <c r="E142" s="415"/>
      <c r="F142" s="415"/>
      <c r="G142" s="415"/>
      <c r="H142" s="415"/>
      <c r="I142" s="415"/>
      <c r="J142" s="415"/>
      <c r="K142" s="314"/>
    </row>
    <row r="143" spans="1:20" ht="17.25" customHeight="1">
      <c r="A143" s="390" t="s">
        <v>53</v>
      </c>
      <c r="B143" s="390"/>
      <c r="C143" s="390"/>
      <c r="D143" s="390"/>
      <c r="E143" s="390"/>
      <c r="F143" s="390"/>
      <c r="G143" s="390"/>
      <c r="H143" s="390"/>
      <c r="I143" s="390"/>
      <c r="J143" s="390"/>
      <c r="K143" s="267">
        <f>SUM(K137:K142)</f>
        <v>1027.0336111111112</v>
      </c>
    </row>
    <row r="144" spans="1:20" s="121" customFormat="1" ht="17.25" customHeight="1">
      <c r="A144" s="455"/>
      <c r="B144" s="455"/>
      <c r="C144" s="455"/>
      <c r="D144" s="455"/>
      <c r="E144" s="455"/>
      <c r="F144" s="455"/>
      <c r="G144" s="455"/>
      <c r="H144" s="455"/>
      <c r="I144" s="455"/>
      <c r="J144" s="455"/>
      <c r="K144" s="455"/>
      <c r="M144" s="116"/>
      <c r="N144" s="116"/>
      <c r="O144" s="116"/>
      <c r="P144" s="116"/>
      <c r="Q144" s="116"/>
      <c r="R144" s="116"/>
      <c r="S144" s="116"/>
      <c r="T144" s="116"/>
    </row>
    <row r="145" spans="1:20" ht="17.25" customHeight="1">
      <c r="A145" s="390" t="s">
        <v>94</v>
      </c>
      <c r="B145" s="390"/>
      <c r="C145" s="390"/>
      <c r="D145" s="390"/>
      <c r="E145" s="390"/>
      <c r="F145" s="390"/>
      <c r="G145" s="390"/>
      <c r="H145" s="390"/>
      <c r="I145" s="390"/>
      <c r="J145" s="390"/>
      <c r="K145" s="263">
        <f>SUM(K35,K74,K101,K134,K143)</f>
        <v>4981.9536111111111</v>
      </c>
      <c r="M145" s="122"/>
    </row>
    <row r="146" spans="1:20" s="121" customFormat="1" ht="17.25" customHeight="1">
      <c r="A146" s="455"/>
      <c r="B146" s="455"/>
      <c r="C146" s="455"/>
      <c r="D146" s="455"/>
      <c r="E146" s="455"/>
      <c r="F146" s="455"/>
      <c r="G146" s="455"/>
      <c r="H146" s="455"/>
      <c r="I146" s="455"/>
      <c r="J146" s="455"/>
      <c r="K146" s="455"/>
      <c r="M146" s="116"/>
      <c r="N146" s="116"/>
      <c r="O146" s="116"/>
      <c r="P146" s="116"/>
      <c r="Q146" s="116"/>
      <c r="R146" s="116"/>
      <c r="S146" s="116"/>
      <c r="T146" s="116"/>
    </row>
    <row r="147" spans="1:20" ht="6.75" customHeight="1">
      <c r="A147" s="408"/>
      <c r="B147" s="408"/>
      <c r="C147" s="408"/>
      <c r="D147" s="408"/>
      <c r="E147" s="408"/>
      <c r="F147" s="408"/>
      <c r="G147" s="408"/>
      <c r="H147" s="408"/>
      <c r="I147" s="408"/>
      <c r="J147" s="408"/>
      <c r="K147" s="408"/>
    </row>
    <row r="148" spans="1:20" ht="17.25" customHeight="1">
      <c r="A148" s="390" t="s">
        <v>54</v>
      </c>
      <c r="B148" s="390"/>
      <c r="C148" s="390"/>
      <c r="D148" s="390"/>
      <c r="E148" s="390"/>
      <c r="F148" s="390"/>
      <c r="G148" s="390"/>
      <c r="H148" s="390"/>
      <c r="I148" s="390"/>
      <c r="J148" s="390"/>
      <c r="K148" s="390"/>
    </row>
    <row r="149" spans="1:20" ht="17.25" customHeight="1">
      <c r="A149" s="412"/>
      <c r="B149" s="412"/>
      <c r="C149" s="412"/>
      <c r="D149" s="412"/>
      <c r="E149" s="412"/>
      <c r="F149" s="412"/>
      <c r="G149" s="390" t="s">
        <v>25</v>
      </c>
      <c r="H149" s="390"/>
      <c r="I149" s="456" t="s">
        <v>55</v>
      </c>
      <c r="J149" s="456"/>
      <c r="K149" s="316" t="s">
        <v>20</v>
      </c>
    </row>
    <row r="150" spans="1:20" ht="17.25" customHeight="1">
      <c r="A150" s="313" t="s">
        <v>1</v>
      </c>
      <c r="B150" s="380" t="s">
        <v>56</v>
      </c>
      <c r="C150" s="380"/>
      <c r="D150" s="380"/>
      <c r="E150" s="380"/>
      <c r="F150" s="380"/>
      <c r="G150" s="422">
        <v>7.2999999999999995E-2</v>
      </c>
      <c r="H150" s="422"/>
      <c r="I150" s="379">
        <f>K145</f>
        <v>4981.9536111111111</v>
      </c>
      <c r="J150" s="379"/>
      <c r="K150" s="315">
        <f>ROUND(I150*G150,2)</f>
        <v>363.68</v>
      </c>
      <c r="M150" s="385"/>
      <c r="N150" s="385"/>
      <c r="O150" s="385"/>
      <c r="P150" s="385"/>
      <c r="Q150" s="385"/>
      <c r="R150" s="385"/>
      <c r="S150" s="385"/>
      <c r="T150" s="385"/>
    </row>
    <row r="151" spans="1:20" ht="17.25" customHeight="1">
      <c r="A151" s="313" t="s">
        <v>3</v>
      </c>
      <c r="B151" s="380" t="s">
        <v>57</v>
      </c>
      <c r="C151" s="380"/>
      <c r="D151" s="380"/>
      <c r="E151" s="380"/>
      <c r="F151" s="380"/>
      <c r="G151" s="422">
        <v>8.0299999999999996E-2</v>
      </c>
      <c r="H151" s="422"/>
      <c r="I151" s="379">
        <f>I150+K150</f>
        <v>5345.6336111111113</v>
      </c>
      <c r="J151" s="379"/>
      <c r="K151" s="315">
        <f>ROUND(I151*G151,2)</f>
        <v>429.25</v>
      </c>
      <c r="M151" s="385"/>
      <c r="N151" s="385"/>
      <c r="O151" s="385"/>
      <c r="P151" s="385"/>
      <c r="Q151" s="385"/>
      <c r="R151" s="385"/>
      <c r="S151" s="385"/>
      <c r="T151" s="385"/>
    </row>
    <row r="152" spans="1:20" ht="17.25" customHeight="1">
      <c r="A152" s="377" t="s">
        <v>5</v>
      </c>
      <c r="B152" s="377" t="s">
        <v>58</v>
      </c>
      <c r="C152" s="377"/>
      <c r="D152" s="377" t="s">
        <v>59</v>
      </c>
      <c r="E152" s="377"/>
      <c r="F152" s="313" t="s">
        <v>60</v>
      </c>
      <c r="G152" s="422">
        <v>6.4999999999999997E-3</v>
      </c>
      <c r="H152" s="422"/>
      <c r="I152" s="379">
        <f>I151+K151</f>
        <v>5774.8836111111113</v>
      </c>
      <c r="J152" s="379"/>
      <c r="K152" s="315">
        <f>ROUND(($I$152/(1-$G$159)*G152),2)</f>
        <v>41.09</v>
      </c>
      <c r="M152" s="458" t="s">
        <v>116</v>
      </c>
      <c r="N152" s="458"/>
      <c r="O152" s="458"/>
      <c r="P152" s="458"/>
      <c r="Q152" s="458"/>
      <c r="R152" s="458"/>
      <c r="S152" s="458"/>
      <c r="T152" s="458"/>
    </row>
    <row r="153" spans="1:20" ht="17.25" customHeight="1">
      <c r="A153" s="377"/>
      <c r="B153" s="377"/>
      <c r="C153" s="377"/>
      <c r="D153" s="377"/>
      <c r="E153" s="377"/>
      <c r="F153" s="313" t="s">
        <v>61</v>
      </c>
      <c r="G153" s="422">
        <v>0.03</v>
      </c>
      <c r="H153" s="422"/>
      <c r="I153" s="379"/>
      <c r="J153" s="379"/>
      <c r="K153" s="315">
        <f>ROUND(($I$152/(1-$G$159)*G153),2)</f>
        <v>189.65</v>
      </c>
      <c r="M153" s="452" t="s">
        <v>117</v>
      </c>
      <c r="N153" s="453"/>
      <c r="O153" s="453"/>
      <c r="P153" s="453"/>
      <c r="Q153" s="453"/>
      <c r="R153" s="453"/>
      <c r="S153" s="453"/>
      <c r="T153" s="454"/>
    </row>
    <row r="154" spans="1:20" ht="17.25" customHeight="1">
      <c r="A154" s="377"/>
      <c r="B154" s="377"/>
      <c r="C154" s="377"/>
      <c r="D154" s="377"/>
      <c r="E154" s="377"/>
      <c r="F154" s="321" t="s">
        <v>62</v>
      </c>
      <c r="G154" s="422"/>
      <c r="H154" s="422"/>
      <c r="I154" s="379"/>
      <c r="J154" s="379"/>
      <c r="K154" s="315">
        <f>ROUND(($I$152/(1-$G$159)*G154),2)</f>
        <v>0</v>
      </c>
      <c r="M154" s="452" t="s">
        <v>184</v>
      </c>
      <c r="N154" s="453"/>
      <c r="O154" s="453"/>
      <c r="P154" s="453"/>
      <c r="Q154" s="453"/>
      <c r="R154" s="453"/>
      <c r="S154" s="453"/>
      <c r="T154" s="454"/>
    </row>
    <row r="155" spans="1:20" ht="17.25" customHeight="1">
      <c r="A155" s="377"/>
      <c r="B155" s="377"/>
      <c r="C155" s="377"/>
      <c r="D155" s="377" t="s">
        <v>63</v>
      </c>
      <c r="E155" s="377"/>
      <c r="F155" s="313" t="s">
        <v>64</v>
      </c>
      <c r="G155" s="405">
        <v>0.05</v>
      </c>
      <c r="H155" s="405"/>
      <c r="I155" s="379"/>
      <c r="J155" s="379"/>
      <c r="K155" s="379">
        <f>ROUND(($I$152/(1-$G$159)*G155),2)</f>
        <v>316.08999999999997</v>
      </c>
    </row>
    <row r="156" spans="1:20" ht="17.25" customHeight="1">
      <c r="A156" s="377"/>
      <c r="B156" s="377"/>
      <c r="C156" s="377"/>
      <c r="D156" s="377"/>
      <c r="E156" s="377"/>
      <c r="F156" s="268" t="str">
        <f>K11</f>
        <v>São Paulo / SP</v>
      </c>
      <c r="G156" s="405"/>
      <c r="H156" s="405"/>
      <c r="I156" s="379"/>
      <c r="J156" s="379"/>
      <c r="K156" s="379"/>
    </row>
    <row r="157" spans="1:20" ht="17.25" customHeight="1">
      <c r="A157" s="377"/>
      <c r="B157" s="377"/>
      <c r="C157" s="377"/>
      <c r="D157" s="377"/>
      <c r="E157" s="377"/>
      <c r="F157" s="321" t="s">
        <v>62</v>
      </c>
      <c r="G157" s="422"/>
      <c r="H157" s="422"/>
      <c r="I157" s="379"/>
      <c r="J157" s="379"/>
      <c r="K157" s="315">
        <f>ROUND(($I$152/(1-$G$159)*G157),2)</f>
        <v>0</v>
      </c>
    </row>
    <row r="158" spans="1:20" ht="17.25" customHeight="1">
      <c r="A158" s="377"/>
      <c r="B158" s="377"/>
      <c r="C158" s="377"/>
      <c r="D158" s="423" t="s">
        <v>65</v>
      </c>
      <c r="E158" s="423"/>
      <c r="F158" s="321"/>
      <c r="G158" s="422"/>
      <c r="H158" s="422"/>
      <c r="I158" s="379"/>
      <c r="J158" s="379"/>
      <c r="K158" s="315">
        <f>ROUND(($I$152/(1-$G$159)*G158),2)</f>
        <v>0</v>
      </c>
    </row>
    <row r="159" spans="1:20" ht="17.25" customHeight="1">
      <c r="A159" s="377"/>
      <c r="B159" s="410" t="s">
        <v>66</v>
      </c>
      <c r="C159" s="410"/>
      <c r="D159" s="410"/>
      <c r="E159" s="410"/>
      <c r="F159" s="410"/>
      <c r="G159" s="461">
        <f>SUM(G152:H158)</f>
        <v>8.6499999999999994E-2</v>
      </c>
      <c r="H159" s="461"/>
      <c r="I159" s="462"/>
      <c r="J159" s="462"/>
      <c r="K159" s="269"/>
      <c r="M159" s="123"/>
    </row>
    <row r="160" spans="1:20" ht="17.25" customHeight="1">
      <c r="A160" s="390" t="s">
        <v>67</v>
      </c>
      <c r="B160" s="390"/>
      <c r="C160" s="390"/>
      <c r="D160" s="390"/>
      <c r="E160" s="390"/>
      <c r="F160" s="390"/>
      <c r="G160" s="390"/>
      <c r="H160" s="390"/>
      <c r="I160" s="463">
        <f>((1+G150)*(1+G151))/(1-G159)-1</f>
        <v>0.26892380952380956</v>
      </c>
      <c r="J160" s="463"/>
      <c r="K160" s="263">
        <f>ROUND(SUM(K150:K158),2)</f>
        <v>1339.76</v>
      </c>
    </row>
    <row r="161" spans="1:13" ht="6" customHeight="1">
      <c r="A161" s="417"/>
      <c r="B161" s="417"/>
      <c r="C161" s="417"/>
      <c r="D161" s="417"/>
      <c r="E161" s="417"/>
      <c r="F161" s="417"/>
      <c r="G161" s="417"/>
      <c r="H161" s="417"/>
      <c r="I161" s="417"/>
      <c r="J161" s="417"/>
      <c r="K161" s="417"/>
    </row>
    <row r="162" spans="1:13" ht="19.5" customHeight="1">
      <c r="A162" s="459" t="s">
        <v>105</v>
      </c>
      <c r="B162" s="459"/>
      <c r="C162" s="459"/>
      <c r="D162" s="459"/>
      <c r="E162" s="459"/>
      <c r="F162" s="459"/>
      <c r="G162" s="459"/>
      <c r="H162" s="459"/>
      <c r="I162" s="459"/>
      <c r="J162" s="459"/>
      <c r="K162" s="323" t="s">
        <v>20</v>
      </c>
    </row>
    <row r="163" spans="1:13" ht="17.25" customHeight="1">
      <c r="A163" s="313" t="s">
        <v>1</v>
      </c>
      <c r="B163" s="380" t="s">
        <v>68</v>
      </c>
      <c r="C163" s="380"/>
      <c r="D163" s="380"/>
      <c r="E163" s="380"/>
      <c r="F163" s="380"/>
      <c r="G163" s="380"/>
      <c r="H163" s="380"/>
      <c r="I163" s="380"/>
      <c r="J163" s="380"/>
      <c r="K163" s="315">
        <f>K35</f>
        <v>1668.89</v>
      </c>
    </row>
    <row r="164" spans="1:13" ht="17.25" customHeight="1">
      <c r="A164" s="313" t="s">
        <v>3</v>
      </c>
      <c r="B164" s="380" t="s">
        <v>69</v>
      </c>
      <c r="C164" s="380"/>
      <c r="D164" s="380"/>
      <c r="E164" s="380"/>
      <c r="F164" s="380"/>
      <c r="G164" s="380"/>
      <c r="H164" s="380"/>
      <c r="I164" s="380"/>
      <c r="J164" s="380"/>
      <c r="K164" s="315">
        <f>K74</f>
        <v>1806.51</v>
      </c>
    </row>
    <row r="165" spans="1:13" ht="17.25" customHeight="1">
      <c r="A165" s="313" t="s">
        <v>5</v>
      </c>
      <c r="B165" s="380" t="s">
        <v>70</v>
      </c>
      <c r="C165" s="380"/>
      <c r="D165" s="380"/>
      <c r="E165" s="380"/>
      <c r="F165" s="380"/>
      <c r="G165" s="380"/>
      <c r="H165" s="380"/>
      <c r="I165" s="380"/>
      <c r="J165" s="380"/>
      <c r="K165" s="315">
        <f>K101</f>
        <v>184.69</v>
      </c>
    </row>
    <row r="166" spans="1:13" ht="17.25" customHeight="1">
      <c r="A166" s="313" t="s">
        <v>6</v>
      </c>
      <c r="B166" s="380" t="s">
        <v>71</v>
      </c>
      <c r="C166" s="380"/>
      <c r="D166" s="380"/>
      <c r="E166" s="380"/>
      <c r="F166" s="380"/>
      <c r="G166" s="380"/>
      <c r="H166" s="380"/>
      <c r="I166" s="380"/>
      <c r="J166" s="380"/>
      <c r="K166" s="315">
        <f>K134</f>
        <v>294.83</v>
      </c>
    </row>
    <row r="167" spans="1:13" ht="17.25" customHeight="1">
      <c r="A167" s="313" t="s">
        <v>8</v>
      </c>
      <c r="B167" s="380" t="s">
        <v>72</v>
      </c>
      <c r="C167" s="380"/>
      <c r="D167" s="380"/>
      <c r="E167" s="380"/>
      <c r="F167" s="380"/>
      <c r="G167" s="380"/>
      <c r="H167" s="380"/>
      <c r="I167" s="380"/>
      <c r="J167" s="380"/>
      <c r="K167" s="315">
        <f>K143</f>
        <v>1027.0336111111112</v>
      </c>
    </row>
    <row r="168" spans="1:13" ht="17.25" customHeight="1">
      <c r="A168" s="313" t="s">
        <v>10</v>
      </c>
      <c r="B168" s="380" t="s">
        <v>73</v>
      </c>
      <c r="C168" s="380"/>
      <c r="D168" s="380"/>
      <c r="E168" s="380"/>
      <c r="F168" s="380"/>
      <c r="G168" s="380"/>
      <c r="H168" s="380"/>
      <c r="I168" s="380"/>
      <c r="J168" s="380"/>
      <c r="K168" s="315">
        <f>K160</f>
        <v>1339.76</v>
      </c>
    </row>
    <row r="169" spans="1:13" ht="18" customHeight="1">
      <c r="A169" s="459" t="s">
        <v>74</v>
      </c>
      <c r="B169" s="459"/>
      <c r="C169" s="459"/>
      <c r="D169" s="459"/>
      <c r="E169" s="459"/>
      <c r="F169" s="459"/>
      <c r="G169" s="459"/>
      <c r="H169" s="459"/>
      <c r="I169" s="459"/>
      <c r="J169" s="459"/>
      <c r="K169" s="270">
        <f>ROUND(SUM(K163:K168),2)</f>
        <v>6321.71</v>
      </c>
      <c r="M169" s="116">
        <f>K139/K169</f>
        <v>1.8127127698746769E-2</v>
      </c>
    </row>
    <row r="170" spans="1:13" ht="6" customHeight="1">
      <c r="A170" s="460"/>
      <c r="B170" s="460"/>
      <c r="C170" s="460"/>
      <c r="D170" s="460"/>
      <c r="E170" s="460"/>
      <c r="F170" s="460"/>
      <c r="G170" s="460"/>
      <c r="H170" s="460"/>
      <c r="I170" s="460"/>
      <c r="J170" s="460"/>
      <c r="K170" s="460"/>
    </row>
    <row r="172" spans="1:13">
      <c r="A172" s="457" t="s">
        <v>763</v>
      </c>
      <c r="B172" s="457"/>
      <c r="C172" s="457"/>
      <c r="D172" s="457"/>
      <c r="E172" s="457"/>
      <c r="F172" s="457"/>
      <c r="G172" s="457"/>
      <c r="H172" s="457"/>
      <c r="I172" s="457"/>
      <c r="J172" s="457"/>
      <c r="K172" s="457"/>
    </row>
  </sheetData>
  <sheetProtection algorithmName="SHA-512" hashValue="/NHNXrz+pJ2hA8+2sHGGg2vAUqko4k8vwyiz4Vaw2zyoLU4dwV2TVdxyRGhHfxZ/SscW72nXYC+jAamy9i5oOg==" saltValue="otpnDQX/pLyRMTekbCUf8A==" spinCount="100000" sheet="1" selectLockedCells="1"/>
  <mergeCells count="257">
    <mergeCell ref="A124:J124"/>
    <mergeCell ref="A125:J125"/>
    <mergeCell ref="A126:J126"/>
    <mergeCell ref="A127:J127"/>
    <mergeCell ref="A117:E117"/>
    <mergeCell ref="H117:J117"/>
    <mergeCell ref="A118:E118"/>
    <mergeCell ref="H118:J118"/>
    <mergeCell ref="A119:J119"/>
    <mergeCell ref="A120:J120"/>
    <mergeCell ref="A121:J121"/>
    <mergeCell ref="A122:J122"/>
    <mergeCell ref="A123:J123"/>
    <mergeCell ref="A112:E112"/>
    <mergeCell ref="H112:J112"/>
    <mergeCell ref="A113:E113"/>
    <mergeCell ref="H113:J113"/>
    <mergeCell ref="A114:E114"/>
    <mergeCell ref="H114:J114"/>
    <mergeCell ref="A115:E115"/>
    <mergeCell ref="H115:J115"/>
    <mergeCell ref="A116:E116"/>
    <mergeCell ref="H116:J116"/>
    <mergeCell ref="A107:E107"/>
    <mergeCell ref="H107:J107"/>
    <mergeCell ref="A108:E108"/>
    <mergeCell ref="H108:J108"/>
    <mergeCell ref="A109:E109"/>
    <mergeCell ref="H109:J109"/>
    <mergeCell ref="A110:E110"/>
    <mergeCell ref="H110:J110"/>
    <mergeCell ref="A111:E111"/>
    <mergeCell ref="H111:J111"/>
    <mergeCell ref="A100:J100"/>
    <mergeCell ref="A101:J101"/>
    <mergeCell ref="A102:K102"/>
    <mergeCell ref="A103:K103"/>
    <mergeCell ref="A104:K104"/>
    <mergeCell ref="A105:K105"/>
    <mergeCell ref="A106:E106"/>
    <mergeCell ref="H106:J106"/>
    <mergeCell ref="A94:J94"/>
    <mergeCell ref="A95:K95"/>
    <mergeCell ref="A96:J96"/>
    <mergeCell ref="A97:J97"/>
    <mergeCell ref="A98:G99"/>
    <mergeCell ref="H98:J98"/>
    <mergeCell ref="H99:J99"/>
    <mergeCell ref="H86:J86"/>
    <mergeCell ref="H87:J87"/>
    <mergeCell ref="A88:J88"/>
    <mergeCell ref="A89:K89"/>
    <mergeCell ref="A90:J90"/>
    <mergeCell ref="A91:J91"/>
    <mergeCell ref="A92:G93"/>
    <mergeCell ref="H92:J92"/>
    <mergeCell ref="H93:J93"/>
    <mergeCell ref="A172:K172"/>
    <mergeCell ref="A5:C5"/>
    <mergeCell ref="D5:K5"/>
    <mergeCell ref="A6:C6"/>
    <mergeCell ref="D6:K6"/>
    <mergeCell ref="A7:K7"/>
    <mergeCell ref="A8:K8"/>
    <mergeCell ref="A1:K1"/>
    <mergeCell ref="A2:K2"/>
    <mergeCell ref="A3:C3"/>
    <mergeCell ref="D3:K3"/>
    <mergeCell ref="A4:C4"/>
    <mergeCell ref="D4:K4"/>
    <mergeCell ref="B15:J15"/>
    <mergeCell ref="B16:J16"/>
    <mergeCell ref="B17:J17"/>
    <mergeCell ref="B18:J18"/>
    <mergeCell ref="B19:J19"/>
    <mergeCell ref="B20:J20"/>
    <mergeCell ref="A9:K9"/>
    <mergeCell ref="B10:J10"/>
    <mergeCell ref="B11:J11"/>
    <mergeCell ref="B12:J12"/>
    <mergeCell ref="B13:J13"/>
    <mergeCell ref="B14:J14"/>
    <mergeCell ref="M26:T26"/>
    <mergeCell ref="B27:G27"/>
    <mergeCell ref="I27:J27"/>
    <mergeCell ref="B28:G28"/>
    <mergeCell ref="I28:J28"/>
    <mergeCell ref="B29:G29"/>
    <mergeCell ref="I29:J29"/>
    <mergeCell ref="B21:J21"/>
    <mergeCell ref="B22:J22"/>
    <mergeCell ref="A23:K23"/>
    <mergeCell ref="A24:K24"/>
    <mergeCell ref="A25:J25"/>
    <mergeCell ref="B26:G26"/>
    <mergeCell ref="I26:J26"/>
    <mergeCell ref="K31:K33"/>
    <mergeCell ref="M31:T33"/>
    <mergeCell ref="I33:J33"/>
    <mergeCell ref="B34:J34"/>
    <mergeCell ref="A35:J35"/>
    <mergeCell ref="A36:K36"/>
    <mergeCell ref="B30:G30"/>
    <mergeCell ref="I30:J30"/>
    <mergeCell ref="A31:A33"/>
    <mergeCell ref="B31:F33"/>
    <mergeCell ref="G31:G32"/>
    <mergeCell ref="H31:H32"/>
    <mergeCell ref="I31:J32"/>
    <mergeCell ref="M40:T42"/>
    <mergeCell ref="B41:H41"/>
    <mergeCell ref="I41:J41"/>
    <mergeCell ref="B42:H42"/>
    <mergeCell ref="I42:J42"/>
    <mergeCell ref="A43:H43"/>
    <mergeCell ref="I43:J43"/>
    <mergeCell ref="A37:K37"/>
    <mergeCell ref="A38:K38"/>
    <mergeCell ref="A39:H39"/>
    <mergeCell ref="I39:J39"/>
    <mergeCell ref="B40:H40"/>
    <mergeCell ref="I40:J40"/>
    <mergeCell ref="B50:H50"/>
    <mergeCell ref="I50:J50"/>
    <mergeCell ref="B51:H51"/>
    <mergeCell ref="I51:J51"/>
    <mergeCell ref="A52:A53"/>
    <mergeCell ref="B52:F53"/>
    <mergeCell ref="I52:J53"/>
    <mergeCell ref="A44:K44"/>
    <mergeCell ref="A45:K45"/>
    <mergeCell ref="A46:J46"/>
    <mergeCell ref="A47:J47"/>
    <mergeCell ref="A48:J48"/>
    <mergeCell ref="A49:H49"/>
    <mergeCell ref="I49:J49"/>
    <mergeCell ref="M61:T62"/>
    <mergeCell ref="A62:J62"/>
    <mergeCell ref="B56:H56"/>
    <mergeCell ref="I56:J56"/>
    <mergeCell ref="B57:H57"/>
    <mergeCell ref="I57:J57"/>
    <mergeCell ref="B58:H58"/>
    <mergeCell ref="I58:J58"/>
    <mergeCell ref="K52:K53"/>
    <mergeCell ref="M52:T53"/>
    <mergeCell ref="B54:H54"/>
    <mergeCell ref="I54:J54"/>
    <mergeCell ref="B55:H55"/>
    <mergeCell ref="I55:J55"/>
    <mergeCell ref="A63:A65"/>
    <mergeCell ref="B63:F63"/>
    <mergeCell ref="G63:J63"/>
    <mergeCell ref="K63:K65"/>
    <mergeCell ref="B64:D64"/>
    <mergeCell ref="G64:J64"/>
    <mergeCell ref="B65:D65"/>
    <mergeCell ref="G65:J65"/>
    <mergeCell ref="A59:H59"/>
    <mergeCell ref="I59:J59"/>
    <mergeCell ref="A60:K60"/>
    <mergeCell ref="A61:K61"/>
    <mergeCell ref="A66:A68"/>
    <mergeCell ref="B66:F66"/>
    <mergeCell ref="G66:J66"/>
    <mergeCell ref="K66:K68"/>
    <mergeCell ref="M66:T68"/>
    <mergeCell ref="B67:E67"/>
    <mergeCell ref="G67:J67"/>
    <mergeCell ref="B68:E68"/>
    <mergeCell ref="G68:J68"/>
    <mergeCell ref="B72:J72"/>
    <mergeCell ref="A73:J73"/>
    <mergeCell ref="A74:J74"/>
    <mergeCell ref="A75:K75"/>
    <mergeCell ref="A76:K76"/>
    <mergeCell ref="M76:T127"/>
    <mergeCell ref="A69:A71"/>
    <mergeCell ref="B69:F69"/>
    <mergeCell ref="G69:J69"/>
    <mergeCell ref="B70:F70"/>
    <mergeCell ref="G70:J70"/>
    <mergeCell ref="K70:K71"/>
    <mergeCell ref="B71:F71"/>
    <mergeCell ref="G71:J71"/>
    <mergeCell ref="A77:K77"/>
    <mergeCell ref="A78:J78"/>
    <mergeCell ref="A79:J79"/>
    <mergeCell ref="A80:J80"/>
    <mergeCell ref="A81:J81"/>
    <mergeCell ref="A82:J82"/>
    <mergeCell ref="A83:J83"/>
    <mergeCell ref="A84:J84"/>
    <mergeCell ref="A85:J85"/>
    <mergeCell ref="A86:G87"/>
    <mergeCell ref="A128:K128"/>
    <mergeCell ref="A135:K135"/>
    <mergeCell ref="A136:K136"/>
    <mergeCell ref="B137:J137"/>
    <mergeCell ref="B138:J138"/>
    <mergeCell ref="B139:J139"/>
    <mergeCell ref="A129:K129"/>
    <mergeCell ref="A130:J130"/>
    <mergeCell ref="B131:J131"/>
    <mergeCell ref="A132:J132"/>
    <mergeCell ref="A133:K133"/>
    <mergeCell ref="A134:J134"/>
    <mergeCell ref="A146:K146"/>
    <mergeCell ref="A147:K147"/>
    <mergeCell ref="A148:K148"/>
    <mergeCell ref="A149:F149"/>
    <mergeCell ref="G149:H149"/>
    <mergeCell ref="I149:J149"/>
    <mergeCell ref="B140:J140"/>
    <mergeCell ref="B141:J141"/>
    <mergeCell ref="B142:J142"/>
    <mergeCell ref="A143:J143"/>
    <mergeCell ref="A144:K144"/>
    <mergeCell ref="A145:J145"/>
    <mergeCell ref="M152:T152"/>
    <mergeCell ref="G153:H153"/>
    <mergeCell ref="M153:T153"/>
    <mergeCell ref="G154:H154"/>
    <mergeCell ref="M154:T154"/>
    <mergeCell ref="B150:F150"/>
    <mergeCell ref="G150:H150"/>
    <mergeCell ref="I150:J150"/>
    <mergeCell ref="M150:T151"/>
    <mergeCell ref="B151:F151"/>
    <mergeCell ref="G151:H151"/>
    <mergeCell ref="I151:J151"/>
    <mergeCell ref="B159:F159"/>
    <mergeCell ref="G159:H159"/>
    <mergeCell ref="I159:J159"/>
    <mergeCell ref="A160:H160"/>
    <mergeCell ref="I160:J160"/>
    <mergeCell ref="A161:K161"/>
    <mergeCell ref="D155:E157"/>
    <mergeCell ref="G155:H156"/>
    <mergeCell ref="K155:K156"/>
    <mergeCell ref="G157:H157"/>
    <mergeCell ref="D158:E158"/>
    <mergeCell ref="G158:H158"/>
    <mergeCell ref="A152:A159"/>
    <mergeCell ref="B152:C158"/>
    <mergeCell ref="D152:E154"/>
    <mergeCell ref="G152:H152"/>
    <mergeCell ref="I152:J158"/>
    <mergeCell ref="B168:J168"/>
    <mergeCell ref="A169:J169"/>
    <mergeCell ref="A170:K170"/>
    <mergeCell ref="A162:J162"/>
    <mergeCell ref="B163:J163"/>
    <mergeCell ref="B164:J164"/>
    <mergeCell ref="B165:J165"/>
    <mergeCell ref="B166:J166"/>
    <mergeCell ref="B167:J167"/>
  </mergeCells>
  <dataValidations count="1">
    <dataValidation type="custom" allowBlank="1" showInputMessage="1" showErrorMessage="1" sqref="O49">
      <formula1>"0,5 a 1"</formula1>
    </dataValidation>
  </dataValidations>
  <printOptions horizontalCentered="1" verticalCentered="1"/>
  <pageMargins left="0.70866141732283472" right="0.70866141732283472" top="0.74803149606299213" bottom="0.74803149606299213" header="0.31496062992125984" footer="0.31496062992125984"/>
  <pageSetup paperSize="9" scale="52" firstPageNumber="0" fitToHeight="2"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I16"/>
  <sheetViews>
    <sheetView workbookViewId="0">
      <selection activeCell="F9" sqref="F9"/>
    </sheetView>
  </sheetViews>
  <sheetFormatPr defaultColWidth="8.7109375" defaultRowHeight="15"/>
  <cols>
    <col min="1" max="1" width="7.140625" style="110" customWidth="1"/>
    <col min="2" max="2" width="52.5703125" style="110" customWidth="1"/>
    <col min="3" max="4" width="8.7109375" style="110"/>
    <col min="5" max="5" width="10.85546875" style="110" customWidth="1"/>
    <col min="6" max="7" width="13" style="110" customWidth="1"/>
    <col min="8" max="8" width="12.85546875" style="110" customWidth="1"/>
    <col min="9" max="9" width="9.140625" style="110" bestFit="1" customWidth="1"/>
    <col min="10" max="16384" width="8.7109375" style="110"/>
  </cols>
  <sheetData>
    <row r="1" spans="1:9" ht="15.75">
      <c r="A1" s="594" t="s">
        <v>285</v>
      </c>
      <c r="B1" s="594"/>
      <c r="C1" s="594"/>
      <c r="D1" s="594"/>
      <c r="E1" s="594"/>
      <c r="F1" s="594"/>
      <c r="G1" s="594"/>
      <c r="H1" s="594"/>
    </row>
    <row r="2" spans="1:9">
      <c r="A2" s="599" t="s">
        <v>263</v>
      </c>
      <c r="B2" s="599" t="s">
        <v>274</v>
      </c>
      <c r="C2" s="599" t="s">
        <v>275</v>
      </c>
      <c r="D2" s="599" t="s">
        <v>262</v>
      </c>
      <c r="E2" s="602" t="s">
        <v>277</v>
      </c>
      <c r="F2" s="595" t="s">
        <v>134</v>
      </c>
      <c r="G2" s="595" t="s">
        <v>284</v>
      </c>
      <c r="H2" s="595" t="s">
        <v>138</v>
      </c>
    </row>
    <row r="3" spans="1:9">
      <c r="A3" s="600"/>
      <c r="B3" s="600"/>
      <c r="C3" s="600"/>
      <c r="D3" s="600"/>
      <c r="E3" s="603"/>
      <c r="F3" s="596"/>
      <c r="G3" s="596"/>
      <c r="H3" s="596"/>
    </row>
    <row r="4" spans="1:9">
      <c r="A4" s="601"/>
      <c r="B4" s="601"/>
      <c r="C4" s="601"/>
      <c r="D4" s="601"/>
      <c r="E4" s="604"/>
      <c r="F4" s="597"/>
      <c r="G4" s="597"/>
      <c r="H4" s="597"/>
    </row>
    <row r="5" spans="1:9">
      <c r="A5" s="203">
        <v>1</v>
      </c>
      <c r="B5" s="125" t="s">
        <v>278</v>
      </c>
      <c r="C5" s="126">
        <v>60895</v>
      </c>
      <c r="D5" s="126" t="s">
        <v>262</v>
      </c>
      <c r="E5" s="203">
        <v>1</v>
      </c>
      <c r="F5" s="310">
        <v>90.9</v>
      </c>
      <c r="G5" s="127">
        <v>6</v>
      </c>
      <c r="H5" s="128">
        <f>(E5*F5)/G5</f>
        <v>15.15</v>
      </c>
      <c r="I5" s="129"/>
    </row>
    <row r="6" spans="1:9">
      <c r="A6" s="203">
        <v>2</v>
      </c>
      <c r="B6" s="125" t="s">
        <v>279</v>
      </c>
      <c r="C6" s="126">
        <v>462228</v>
      </c>
      <c r="D6" s="126" t="s">
        <v>262</v>
      </c>
      <c r="E6" s="203">
        <v>4</v>
      </c>
      <c r="F6" s="310">
        <v>48.9</v>
      </c>
      <c r="G6" s="127">
        <v>6</v>
      </c>
      <c r="H6" s="128">
        <f t="shared" ref="H6:H10" si="0">(E6*F6)/G6</f>
        <v>32.6</v>
      </c>
    </row>
    <row r="7" spans="1:9" ht="45">
      <c r="A7" s="203">
        <v>3</v>
      </c>
      <c r="B7" s="125" t="s">
        <v>280</v>
      </c>
      <c r="C7" s="126">
        <v>458140</v>
      </c>
      <c r="D7" s="126" t="s">
        <v>262</v>
      </c>
      <c r="E7" s="203">
        <v>4</v>
      </c>
      <c r="F7" s="310">
        <v>48.58</v>
      </c>
      <c r="G7" s="127">
        <v>6</v>
      </c>
      <c r="H7" s="128">
        <f t="shared" si="0"/>
        <v>32.386666666666663</v>
      </c>
    </row>
    <row r="8" spans="1:9" ht="30">
      <c r="A8" s="203">
        <v>4</v>
      </c>
      <c r="B8" s="125" t="s">
        <v>281</v>
      </c>
      <c r="C8" s="126">
        <v>461962</v>
      </c>
      <c r="D8" s="126" t="s">
        <v>262</v>
      </c>
      <c r="E8" s="203">
        <v>3</v>
      </c>
      <c r="F8" s="310">
        <v>59.51</v>
      </c>
      <c r="G8" s="130">
        <v>6</v>
      </c>
      <c r="H8" s="128">
        <f t="shared" si="0"/>
        <v>29.754999999999999</v>
      </c>
    </row>
    <row r="9" spans="1:9" ht="30">
      <c r="A9" s="203">
        <v>5</v>
      </c>
      <c r="B9" s="125" t="s">
        <v>282</v>
      </c>
      <c r="C9" s="126">
        <v>19798</v>
      </c>
      <c r="D9" s="126" t="s">
        <v>262</v>
      </c>
      <c r="E9" s="203">
        <v>1</v>
      </c>
      <c r="F9" s="310">
        <v>155</v>
      </c>
      <c r="G9" s="130">
        <v>6</v>
      </c>
      <c r="H9" s="128">
        <f>(E9*F9)/G9</f>
        <v>25.833333333333332</v>
      </c>
    </row>
    <row r="10" spans="1:9">
      <c r="A10" s="203">
        <v>6</v>
      </c>
      <c r="B10" s="125" t="s">
        <v>283</v>
      </c>
      <c r="C10" s="126">
        <v>3972</v>
      </c>
      <c r="D10" s="126" t="s">
        <v>265</v>
      </c>
      <c r="E10" s="203">
        <v>5</v>
      </c>
      <c r="F10" s="310">
        <v>12.75</v>
      </c>
      <c r="G10" s="130">
        <v>6</v>
      </c>
      <c r="H10" s="128">
        <f t="shared" si="0"/>
        <v>10.625</v>
      </c>
    </row>
    <row r="11" spans="1:9">
      <c r="A11" s="203">
        <v>7</v>
      </c>
      <c r="B11" s="125" t="s">
        <v>169</v>
      </c>
      <c r="C11" s="126">
        <v>439776</v>
      </c>
      <c r="D11" s="126" t="s">
        <v>262</v>
      </c>
      <c r="E11" s="203">
        <v>1</v>
      </c>
      <c r="F11" s="310">
        <v>9.18</v>
      </c>
      <c r="G11" s="130" t="s">
        <v>170</v>
      </c>
      <c r="H11" s="128">
        <f>(F11/12)*E11</f>
        <v>0.76500000000000001</v>
      </c>
    </row>
    <row r="12" spans="1:9">
      <c r="A12" s="598" t="s">
        <v>306</v>
      </c>
      <c r="B12" s="598"/>
      <c r="C12" s="598"/>
      <c r="D12" s="598"/>
      <c r="E12" s="598"/>
      <c r="F12" s="598"/>
      <c r="G12" s="598"/>
      <c r="H12" s="131">
        <f>SUM(H5:H11)</f>
        <v>147.11499999999998</v>
      </c>
    </row>
    <row r="13" spans="1:9">
      <c r="A13" s="132"/>
      <c r="B13" s="133"/>
      <c r="C13" s="133"/>
      <c r="D13" s="132"/>
      <c r="E13" s="132"/>
      <c r="F13" s="134"/>
      <c r="G13" s="134"/>
      <c r="H13" s="134"/>
    </row>
    <row r="14" spans="1:9">
      <c r="A14" s="135" t="s">
        <v>305</v>
      </c>
      <c r="B14" s="133"/>
      <c r="C14" s="133"/>
      <c r="D14" s="132"/>
      <c r="E14" s="132"/>
      <c r="F14" s="134"/>
      <c r="G14" s="134"/>
      <c r="H14" s="134"/>
    </row>
    <row r="15" spans="1:9">
      <c r="A15" s="135"/>
      <c r="B15" s="133"/>
      <c r="C15" s="133"/>
      <c r="D15" s="132"/>
      <c r="E15" s="132"/>
      <c r="F15" s="134"/>
      <c r="G15" s="134"/>
      <c r="H15" s="134"/>
    </row>
    <row r="16" spans="1:9">
      <c r="A16" s="593" t="s">
        <v>763</v>
      </c>
      <c r="B16" s="593"/>
      <c r="C16" s="593"/>
      <c r="D16" s="593"/>
      <c r="E16" s="593"/>
      <c r="F16" s="593"/>
      <c r="G16" s="593"/>
      <c r="H16" s="593"/>
    </row>
  </sheetData>
  <sheetProtection algorithmName="SHA-512" hashValue="ZsYire2bE+kdFkjowRnGAuhM2w2Rdwro5gZXxt1T9zaqQVx4C+mJLo+tbMMCTHuH5JDhRS5VsJzBOlHF89iqLw==" saltValue="YlBROmrOc/hDiDPGGrjMsA==" spinCount="100000" sheet="1" selectLockedCells="1"/>
  <mergeCells count="11">
    <mergeCell ref="A16:H16"/>
    <mergeCell ref="A1:H1"/>
    <mergeCell ref="G2:G4"/>
    <mergeCell ref="F2:F4"/>
    <mergeCell ref="H2:H4"/>
    <mergeCell ref="A12:G12"/>
    <mergeCell ref="A2:A4"/>
    <mergeCell ref="B2:B4"/>
    <mergeCell ref="C2:C4"/>
    <mergeCell ref="D2:D4"/>
    <mergeCell ref="E2:E4"/>
  </mergeCells>
  <pageMargins left="0.511811024" right="0.511811024" top="0.78740157499999996" bottom="0.78740157499999996" header="0.31496062000000002" footer="0.31496062000000002"/>
  <pageSetup paperSize="9" scale="72" orientation="portrait" horizontalDpi="300" verticalDpi="300" r:id="rId1"/>
</worksheet>
</file>

<file path=xl/worksheets/sheet8.xml><?xml version="1.0" encoding="utf-8"?>
<worksheet xmlns="http://schemas.openxmlformats.org/spreadsheetml/2006/main" xmlns:r="http://schemas.openxmlformats.org/officeDocument/2006/relationships">
  <sheetPr>
    <pageSetUpPr fitToPage="1"/>
  </sheetPr>
  <dimension ref="A1:K31"/>
  <sheetViews>
    <sheetView workbookViewId="0">
      <selection activeCell="H14" sqref="H14"/>
    </sheetView>
  </sheetViews>
  <sheetFormatPr defaultColWidth="8.7109375" defaultRowHeight="15"/>
  <cols>
    <col min="1" max="1" width="7.42578125" style="110" customWidth="1"/>
    <col min="2" max="2" width="39.85546875" style="110" customWidth="1"/>
    <col min="3" max="4" width="8.7109375" style="110"/>
    <col min="5" max="5" width="14" style="110" customWidth="1"/>
    <col min="6" max="6" width="9.42578125" style="110" customWidth="1"/>
    <col min="7" max="7" width="11" style="110" customWidth="1"/>
    <col min="8" max="8" width="14.5703125" style="110" customWidth="1"/>
    <col min="9" max="9" width="12.85546875" style="110" customWidth="1"/>
    <col min="10" max="10" width="9.140625" style="110" bestFit="1" customWidth="1"/>
    <col min="11" max="11" width="10.140625" style="110" bestFit="1" customWidth="1"/>
    <col min="12" max="16384" width="8.7109375" style="110"/>
  </cols>
  <sheetData>
    <row r="1" spans="1:10" ht="15.75">
      <c r="A1" s="594" t="s">
        <v>304</v>
      </c>
      <c r="B1" s="594"/>
      <c r="C1" s="594"/>
      <c r="D1" s="594"/>
      <c r="E1" s="594"/>
      <c r="F1" s="594"/>
      <c r="G1" s="594"/>
      <c r="H1" s="594"/>
      <c r="I1" s="594"/>
    </row>
    <row r="2" spans="1:10">
      <c r="A2" s="599" t="s">
        <v>263</v>
      </c>
      <c r="B2" s="599" t="s">
        <v>274</v>
      </c>
      <c r="C2" s="599" t="s">
        <v>275</v>
      </c>
      <c r="D2" s="599" t="s">
        <v>276</v>
      </c>
      <c r="E2" s="599" t="s">
        <v>262</v>
      </c>
      <c r="F2" s="602" t="s">
        <v>308</v>
      </c>
      <c r="G2" s="602" t="s">
        <v>277</v>
      </c>
      <c r="H2" s="595" t="s">
        <v>307</v>
      </c>
      <c r="I2" s="595" t="s">
        <v>138</v>
      </c>
    </row>
    <row r="3" spans="1:10">
      <c r="A3" s="600"/>
      <c r="B3" s="600"/>
      <c r="C3" s="600"/>
      <c r="D3" s="600"/>
      <c r="E3" s="600"/>
      <c r="F3" s="603"/>
      <c r="G3" s="603"/>
      <c r="H3" s="596"/>
      <c r="I3" s="596"/>
    </row>
    <row r="4" spans="1:10" ht="15" customHeight="1">
      <c r="A4" s="601"/>
      <c r="B4" s="601"/>
      <c r="C4" s="601"/>
      <c r="D4" s="601"/>
      <c r="E4" s="601"/>
      <c r="F4" s="604"/>
      <c r="G4" s="604"/>
      <c r="H4" s="597"/>
      <c r="I4" s="597"/>
    </row>
    <row r="5" spans="1:10" ht="15" customHeight="1">
      <c r="A5" s="611" t="s">
        <v>286</v>
      </c>
      <c r="B5" s="612"/>
      <c r="C5" s="612"/>
      <c r="D5" s="612"/>
      <c r="E5" s="612"/>
      <c r="F5" s="612"/>
      <c r="G5" s="612"/>
      <c r="H5" s="612"/>
      <c r="I5" s="613"/>
    </row>
    <row r="6" spans="1:10">
      <c r="A6" s="203">
        <v>1</v>
      </c>
      <c r="B6" s="125" t="s">
        <v>287</v>
      </c>
      <c r="C6" s="126">
        <v>468649</v>
      </c>
      <c r="D6" s="126">
        <v>12895</v>
      </c>
      <c r="E6" s="126" t="s">
        <v>262</v>
      </c>
      <c r="F6" s="126">
        <v>12</v>
      </c>
      <c r="G6" s="203">
        <v>1</v>
      </c>
      <c r="H6" s="309">
        <v>13.75</v>
      </c>
      <c r="I6" s="136">
        <f>(G6*H6)/F6</f>
        <v>1.1458333333333333</v>
      </c>
    </row>
    <row r="7" spans="1:10">
      <c r="A7" s="203">
        <v>2</v>
      </c>
      <c r="B7" s="125" t="s">
        <v>288</v>
      </c>
      <c r="C7" s="126">
        <v>121193</v>
      </c>
      <c r="D7" s="126">
        <v>36148</v>
      </c>
      <c r="E7" s="126" t="s">
        <v>262</v>
      </c>
      <c r="F7" s="126">
        <v>12</v>
      </c>
      <c r="G7" s="203">
        <v>1</v>
      </c>
      <c r="H7" s="309">
        <v>66</v>
      </c>
      <c r="I7" s="136">
        <f t="shared" ref="I7:I9" si="0">(G7*H7)/F7</f>
        <v>5.5</v>
      </c>
    </row>
    <row r="8" spans="1:10">
      <c r="A8" s="203">
        <v>3</v>
      </c>
      <c r="B8" s="125" t="s">
        <v>289</v>
      </c>
      <c r="C8" s="126">
        <v>417399</v>
      </c>
      <c r="D8" s="126">
        <v>36152</v>
      </c>
      <c r="E8" s="126" t="s">
        <v>262</v>
      </c>
      <c r="F8" s="126">
        <v>6</v>
      </c>
      <c r="G8" s="203">
        <v>2</v>
      </c>
      <c r="H8" s="309">
        <v>5.36</v>
      </c>
      <c r="I8" s="136">
        <f t="shared" si="0"/>
        <v>1.7866666666666668</v>
      </c>
      <c r="J8" s="129"/>
    </row>
    <row r="9" spans="1:10">
      <c r="A9" s="203">
        <v>4</v>
      </c>
      <c r="B9" s="125" t="s">
        <v>290</v>
      </c>
      <c r="C9" s="126">
        <v>399611</v>
      </c>
      <c r="D9" s="137"/>
      <c r="E9" s="126" t="s">
        <v>262</v>
      </c>
      <c r="F9" s="126">
        <v>6</v>
      </c>
      <c r="G9" s="203">
        <v>2</v>
      </c>
      <c r="H9" s="309">
        <v>7.84</v>
      </c>
      <c r="I9" s="136">
        <f t="shared" si="0"/>
        <v>2.6133333333333333</v>
      </c>
    </row>
    <row r="10" spans="1:10">
      <c r="A10" s="203">
        <v>5</v>
      </c>
      <c r="B10" s="125" t="s">
        <v>291</v>
      </c>
      <c r="C10" s="126">
        <v>337283</v>
      </c>
      <c r="D10" s="126">
        <v>36142</v>
      </c>
      <c r="E10" s="126" t="s">
        <v>262</v>
      </c>
      <c r="F10" s="126">
        <v>2</v>
      </c>
      <c r="G10" s="203">
        <v>6</v>
      </c>
      <c r="H10" s="309">
        <v>2.06</v>
      </c>
      <c r="I10" s="136">
        <f>(G10*H10)/F10</f>
        <v>6.18</v>
      </c>
    </row>
    <row r="11" spans="1:10">
      <c r="A11" s="203">
        <v>6</v>
      </c>
      <c r="B11" s="125" t="s">
        <v>292</v>
      </c>
      <c r="C11" s="126">
        <v>405875</v>
      </c>
      <c r="D11" s="137"/>
      <c r="E11" s="126" t="s">
        <v>293</v>
      </c>
      <c r="F11" s="126">
        <v>2</v>
      </c>
      <c r="G11" s="203">
        <v>6</v>
      </c>
      <c r="H11" s="309">
        <v>8.64</v>
      </c>
      <c r="I11" s="136">
        <f>(G11*H11)/F11</f>
        <v>25.92</v>
      </c>
      <c r="J11" s="129"/>
    </row>
    <row r="12" spans="1:10">
      <c r="A12" s="617" t="s">
        <v>309</v>
      </c>
      <c r="B12" s="618"/>
      <c r="C12" s="618"/>
      <c r="D12" s="618"/>
      <c r="E12" s="618"/>
      <c r="F12" s="618"/>
      <c r="G12" s="618"/>
      <c r="H12" s="619"/>
      <c r="I12" s="138">
        <f>SUM(I6:I11)</f>
        <v>43.145833333333336</v>
      </c>
    </row>
    <row r="13" spans="1:10">
      <c r="A13" s="614" t="s">
        <v>294</v>
      </c>
      <c r="B13" s="615"/>
      <c r="C13" s="615"/>
      <c r="D13" s="615"/>
      <c r="E13" s="615"/>
      <c r="F13" s="615"/>
      <c r="G13" s="615"/>
      <c r="H13" s="615"/>
      <c r="I13" s="616"/>
    </row>
    <row r="14" spans="1:10" ht="30">
      <c r="A14" s="203">
        <v>7</v>
      </c>
      <c r="B14" s="125" t="s">
        <v>295</v>
      </c>
      <c r="C14" s="126">
        <v>431867</v>
      </c>
      <c r="D14" s="137"/>
      <c r="E14" s="126" t="s">
        <v>265</v>
      </c>
      <c r="F14" s="126">
        <v>6</v>
      </c>
      <c r="G14" s="203">
        <v>1</v>
      </c>
      <c r="H14" s="310">
        <v>43.33</v>
      </c>
      <c r="I14" s="210">
        <f t="shared" ref="I14:I22" si="1">(G14*H14)/F14</f>
        <v>7.2216666666666667</v>
      </c>
    </row>
    <row r="15" spans="1:10">
      <c r="A15" s="203">
        <v>8</v>
      </c>
      <c r="B15" s="125" t="s">
        <v>296</v>
      </c>
      <c r="C15" s="126">
        <v>286985</v>
      </c>
      <c r="D15" s="137"/>
      <c r="E15" s="126" t="s">
        <v>262</v>
      </c>
      <c r="F15" s="126">
        <v>12</v>
      </c>
      <c r="G15" s="203">
        <v>1</v>
      </c>
      <c r="H15" s="309">
        <v>167.23</v>
      </c>
      <c r="I15" s="136">
        <f t="shared" si="1"/>
        <v>13.935833333333333</v>
      </c>
    </row>
    <row r="16" spans="1:10">
      <c r="A16" s="203">
        <v>9</v>
      </c>
      <c r="B16" s="125" t="s">
        <v>297</v>
      </c>
      <c r="C16" s="126">
        <v>468662</v>
      </c>
      <c r="D16" s="137"/>
      <c r="E16" s="126" t="s">
        <v>265</v>
      </c>
      <c r="F16" s="126">
        <v>6</v>
      </c>
      <c r="G16" s="203">
        <v>2</v>
      </c>
      <c r="H16" s="309">
        <v>16.920000000000002</v>
      </c>
      <c r="I16" s="136">
        <f t="shared" si="1"/>
        <v>5.6400000000000006</v>
      </c>
    </row>
    <row r="17" spans="1:11">
      <c r="A17" s="203">
        <v>10</v>
      </c>
      <c r="B17" s="125" t="s">
        <v>298</v>
      </c>
      <c r="C17" s="126">
        <v>338211</v>
      </c>
      <c r="D17" s="126">
        <v>36147</v>
      </c>
      <c r="E17" s="126" t="s">
        <v>265</v>
      </c>
      <c r="F17" s="126">
        <v>6</v>
      </c>
      <c r="G17" s="203">
        <v>2</v>
      </c>
      <c r="H17" s="309">
        <v>355.8</v>
      </c>
      <c r="I17" s="136">
        <f t="shared" si="1"/>
        <v>118.60000000000001</v>
      </c>
    </row>
    <row r="18" spans="1:11">
      <c r="A18" s="617" t="s">
        <v>311</v>
      </c>
      <c r="B18" s="618"/>
      <c r="C18" s="618"/>
      <c r="D18" s="618"/>
      <c r="E18" s="618"/>
      <c r="F18" s="618"/>
      <c r="G18" s="618"/>
      <c r="H18" s="619"/>
      <c r="I18" s="138">
        <f>SUM(I14:I17)+I12</f>
        <v>188.54333333333335</v>
      </c>
    </row>
    <row r="19" spans="1:11">
      <c r="A19" s="614" t="s">
        <v>299</v>
      </c>
      <c r="B19" s="615"/>
      <c r="C19" s="615"/>
      <c r="D19" s="615"/>
      <c r="E19" s="615"/>
      <c r="F19" s="615"/>
      <c r="G19" s="615"/>
      <c r="H19" s="615"/>
      <c r="I19" s="616"/>
    </row>
    <row r="20" spans="1:11">
      <c r="A20" s="203">
        <v>11</v>
      </c>
      <c r="B20" s="125" t="s">
        <v>300</v>
      </c>
      <c r="C20" s="126">
        <v>468656</v>
      </c>
      <c r="D20" s="126">
        <v>12893</v>
      </c>
      <c r="E20" s="126" t="s">
        <v>265</v>
      </c>
      <c r="F20" s="126">
        <v>6</v>
      </c>
      <c r="G20" s="203">
        <v>2</v>
      </c>
      <c r="H20" s="309">
        <v>66</v>
      </c>
      <c r="I20" s="136">
        <f t="shared" si="1"/>
        <v>22</v>
      </c>
    </row>
    <row r="21" spans="1:11">
      <c r="A21" s="203">
        <v>12</v>
      </c>
      <c r="B21" s="125" t="s">
        <v>301</v>
      </c>
      <c r="C21" s="126">
        <v>451548</v>
      </c>
      <c r="D21" s="137"/>
      <c r="E21" s="126" t="s">
        <v>265</v>
      </c>
      <c r="F21" s="126">
        <v>2</v>
      </c>
      <c r="G21" s="203">
        <v>6</v>
      </c>
      <c r="H21" s="309">
        <v>22.23</v>
      </c>
      <c r="I21" s="136">
        <f t="shared" si="1"/>
        <v>66.69</v>
      </c>
      <c r="K21" s="129"/>
    </row>
    <row r="22" spans="1:11">
      <c r="A22" s="203">
        <v>13</v>
      </c>
      <c r="B22" s="125" t="s">
        <v>302</v>
      </c>
      <c r="C22" s="126">
        <v>120936</v>
      </c>
      <c r="D22" s="137"/>
      <c r="E22" s="126" t="s">
        <v>265</v>
      </c>
      <c r="F22" s="126">
        <v>4</v>
      </c>
      <c r="G22" s="203">
        <v>3</v>
      </c>
      <c r="H22" s="309">
        <v>12.24</v>
      </c>
      <c r="I22" s="136">
        <f t="shared" si="1"/>
        <v>9.18</v>
      </c>
    </row>
    <row r="23" spans="1:11">
      <c r="A23" s="203">
        <v>14</v>
      </c>
      <c r="B23" s="125" t="s">
        <v>303</v>
      </c>
      <c r="C23" s="126">
        <v>346190</v>
      </c>
      <c r="D23" s="137"/>
      <c r="E23" s="126" t="s">
        <v>262</v>
      </c>
      <c r="F23" s="126">
        <v>1</v>
      </c>
      <c r="G23" s="203">
        <v>12</v>
      </c>
      <c r="H23" s="309">
        <v>2.93</v>
      </c>
      <c r="I23" s="136">
        <f>(G23*H23)/12</f>
        <v>2.93</v>
      </c>
      <c r="K23" s="129"/>
    </row>
    <row r="24" spans="1:11">
      <c r="A24" s="608" t="s">
        <v>310</v>
      </c>
      <c r="B24" s="609"/>
      <c r="C24" s="609"/>
      <c r="D24" s="609"/>
      <c r="E24" s="609"/>
      <c r="F24" s="609"/>
      <c r="G24" s="609"/>
      <c r="H24" s="610"/>
      <c r="I24" s="211">
        <f>SUM(I20:I23)+I12</f>
        <v>143.94583333333335</v>
      </c>
    </row>
    <row r="25" spans="1:11">
      <c r="A25" s="132"/>
      <c r="B25" s="133"/>
      <c r="C25" s="133"/>
      <c r="D25" s="133"/>
      <c r="E25" s="132"/>
      <c r="F25" s="132"/>
      <c r="G25" s="132"/>
      <c r="H25" s="134"/>
      <c r="I25" s="134"/>
    </row>
    <row r="26" spans="1:11">
      <c r="A26" s="132"/>
      <c r="B26" s="133"/>
      <c r="C26" s="133"/>
      <c r="D26" s="133"/>
      <c r="E26" s="132"/>
      <c r="F26" s="132"/>
      <c r="G26" s="132"/>
      <c r="H26" s="134"/>
      <c r="I26" s="134"/>
    </row>
    <row r="27" spans="1:11">
      <c r="A27" s="139" t="s">
        <v>764</v>
      </c>
      <c r="B27" s="133"/>
      <c r="C27" s="133"/>
      <c r="D27" s="133"/>
      <c r="E27" s="132"/>
      <c r="F27" s="132"/>
      <c r="G27" s="132"/>
      <c r="H27" s="134"/>
      <c r="I27" s="134"/>
    </row>
    <row r="29" spans="1:11">
      <c r="A29" s="110" t="s">
        <v>313</v>
      </c>
    </row>
    <row r="31" spans="1:11">
      <c r="A31" s="605" t="s">
        <v>763</v>
      </c>
      <c r="B31" s="606"/>
      <c r="C31" s="606"/>
      <c r="D31" s="606"/>
      <c r="E31" s="606"/>
      <c r="F31" s="606"/>
      <c r="G31" s="606"/>
      <c r="H31" s="606"/>
      <c r="I31" s="607"/>
    </row>
  </sheetData>
  <sheetProtection algorithmName="SHA-512" hashValue="irE9pN5rpu/GLodVxQsRyR2bn1UKbApwZKQiqNMy1/t8tH2EzFgp/CJgr5tCKBq60D4BLJlk8d/i/zsuUqCLVg==" saltValue="tki1VETvDm56tlfgKZVStA==" spinCount="100000" sheet="1" objects="1" scenarios="1" selectLockedCells="1"/>
  <mergeCells count="17">
    <mergeCell ref="A1:I1"/>
    <mergeCell ref="F2:F4"/>
    <mergeCell ref="A12:H12"/>
    <mergeCell ref="A18:H18"/>
    <mergeCell ref="A31:I31"/>
    <mergeCell ref="A24:H24"/>
    <mergeCell ref="H2:H4"/>
    <mergeCell ref="I2:I4"/>
    <mergeCell ref="A2:A4"/>
    <mergeCell ref="B2:B4"/>
    <mergeCell ref="C2:C4"/>
    <mergeCell ref="D2:D4"/>
    <mergeCell ref="E2:E4"/>
    <mergeCell ref="G2:G4"/>
    <mergeCell ref="A5:I5"/>
    <mergeCell ref="A13:I13"/>
    <mergeCell ref="A19:I19"/>
  </mergeCells>
  <pageMargins left="0.511811024" right="0.511811024" top="0.78740157499999996" bottom="0.78740157499999996" header="0.31496062000000002" footer="0.31496062000000002"/>
  <pageSetup paperSize="9" scale="72" orientation="portrait" r:id="rId1"/>
</worksheet>
</file>

<file path=xl/worksheets/sheet9.xml><?xml version="1.0" encoding="utf-8"?>
<worksheet xmlns="http://schemas.openxmlformats.org/spreadsheetml/2006/main" xmlns:r="http://schemas.openxmlformats.org/officeDocument/2006/relationships">
  <sheetPr>
    <pageSetUpPr fitToPage="1"/>
  </sheetPr>
  <dimension ref="A1:J59"/>
  <sheetViews>
    <sheetView view="pageBreakPreview" zoomScale="60" zoomScaleNormal="115" workbookViewId="0">
      <selection activeCell="G32" sqref="G32"/>
    </sheetView>
  </sheetViews>
  <sheetFormatPr defaultColWidth="8.7109375" defaultRowHeight="15"/>
  <cols>
    <col min="1" max="1" width="4.7109375" style="110" bestFit="1" customWidth="1"/>
    <col min="2" max="2" width="72.28515625" style="110" customWidth="1"/>
    <col min="3" max="4" width="8.7109375" style="110"/>
    <col min="5" max="5" width="19" style="110" customWidth="1"/>
    <col min="6" max="6" width="11.28515625" style="110" customWidth="1"/>
    <col min="7" max="7" width="11.85546875" style="110" customWidth="1"/>
    <col min="8" max="8" width="13.5703125" style="110" customWidth="1"/>
    <col min="9" max="9" width="8.7109375" style="110"/>
    <col min="10" max="10" width="9.140625" style="110" bestFit="1" customWidth="1"/>
    <col min="11" max="11" width="10.5703125" style="110" bestFit="1" customWidth="1"/>
    <col min="12" max="12" width="12.140625" style="110" bestFit="1" customWidth="1"/>
    <col min="13" max="16384" width="8.7109375" style="110"/>
  </cols>
  <sheetData>
    <row r="1" spans="1:8" ht="15.75">
      <c r="A1" s="372" t="s">
        <v>679</v>
      </c>
      <c r="B1" s="372"/>
      <c r="C1" s="372"/>
      <c r="D1" s="372"/>
      <c r="E1" s="372"/>
      <c r="F1" s="372"/>
      <c r="G1" s="372"/>
      <c r="H1" s="372"/>
    </row>
    <row r="2" spans="1:8" ht="25.5">
      <c r="A2" s="140" t="s">
        <v>263</v>
      </c>
      <c r="B2" s="140" t="s">
        <v>314</v>
      </c>
      <c r="C2" s="140" t="s">
        <v>275</v>
      </c>
      <c r="D2" s="140" t="s">
        <v>276</v>
      </c>
      <c r="E2" s="140" t="s">
        <v>262</v>
      </c>
      <c r="F2" s="140" t="s">
        <v>277</v>
      </c>
      <c r="G2" s="140" t="s">
        <v>134</v>
      </c>
      <c r="H2" s="140" t="s">
        <v>510</v>
      </c>
    </row>
    <row r="3" spans="1:8" ht="38.25">
      <c r="A3" s="325">
        <v>1</v>
      </c>
      <c r="B3" s="141" t="s">
        <v>512</v>
      </c>
      <c r="C3" s="324">
        <v>446916</v>
      </c>
      <c r="D3" s="324">
        <v>20111</v>
      </c>
      <c r="E3" s="325" t="s">
        <v>513</v>
      </c>
      <c r="F3" s="325">
        <v>24</v>
      </c>
      <c r="G3" s="306">
        <v>10</v>
      </c>
      <c r="H3" s="142">
        <f>ROUND(F3*G3,2)</f>
        <v>240</v>
      </c>
    </row>
    <row r="4" spans="1:8">
      <c r="A4" s="325">
        <v>2</v>
      </c>
      <c r="B4" s="141" t="s">
        <v>514</v>
      </c>
      <c r="C4" s="143">
        <v>461963</v>
      </c>
      <c r="D4" s="143"/>
      <c r="E4" s="144" t="s">
        <v>513</v>
      </c>
      <c r="F4" s="144">
        <v>5</v>
      </c>
      <c r="G4" s="307">
        <v>3.36</v>
      </c>
      <c r="H4" s="142">
        <f t="shared" ref="H4:H49" si="0">ROUND(F4*G4,2)</f>
        <v>16.8</v>
      </c>
    </row>
    <row r="5" spans="1:8">
      <c r="A5" s="325">
        <v>3</v>
      </c>
      <c r="B5" s="141" t="s">
        <v>515</v>
      </c>
      <c r="C5" s="143">
        <v>319589</v>
      </c>
      <c r="D5" s="143">
        <v>3148</v>
      </c>
      <c r="E5" s="144" t="s">
        <v>513</v>
      </c>
      <c r="F5" s="144">
        <v>3</v>
      </c>
      <c r="G5" s="307">
        <v>9.33</v>
      </c>
      <c r="H5" s="142">
        <f t="shared" si="0"/>
        <v>27.99</v>
      </c>
    </row>
    <row r="6" spans="1:8">
      <c r="A6" s="325">
        <v>4</v>
      </c>
      <c r="B6" s="141" t="s">
        <v>516</v>
      </c>
      <c r="C6" s="143">
        <v>127655</v>
      </c>
      <c r="D6" s="143">
        <v>4229</v>
      </c>
      <c r="E6" s="144" t="s">
        <v>517</v>
      </c>
      <c r="F6" s="144">
        <v>0.5</v>
      </c>
      <c r="G6" s="307">
        <v>27.45</v>
      </c>
      <c r="H6" s="142">
        <f t="shared" si="0"/>
        <v>13.73</v>
      </c>
    </row>
    <row r="7" spans="1:8">
      <c r="A7" s="325">
        <v>5</v>
      </c>
      <c r="B7" s="141" t="s">
        <v>518</v>
      </c>
      <c r="C7" s="143">
        <v>261317</v>
      </c>
      <c r="D7" s="143"/>
      <c r="E7" s="144" t="s">
        <v>519</v>
      </c>
      <c r="F7" s="144">
        <v>3</v>
      </c>
      <c r="G7" s="307">
        <v>9.92</v>
      </c>
      <c r="H7" s="142">
        <f t="shared" si="0"/>
        <v>29.76</v>
      </c>
    </row>
    <row r="8" spans="1:8">
      <c r="A8" s="325">
        <v>6</v>
      </c>
      <c r="B8" s="141" t="s">
        <v>520</v>
      </c>
      <c r="C8" s="143">
        <v>406102</v>
      </c>
      <c r="D8" s="143">
        <v>39439</v>
      </c>
      <c r="E8" s="144" t="s">
        <v>262</v>
      </c>
      <c r="F8" s="144">
        <v>300</v>
      </c>
      <c r="G8" s="307">
        <v>7.0000000000000007E-2</v>
      </c>
      <c r="H8" s="142">
        <f t="shared" si="0"/>
        <v>21</v>
      </c>
    </row>
    <row r="9" spans="1:8">
      <c r="A9" s="325">
        <v>7</v>
      </c>
      <c r="B9" s="141" t="s">
        <v>521</v>
      </c>
      <c r="C9" s="143">
        <v>432416</v>
      </c>
      <c r="D9" s="143">
        <v>5061</v>
      </c>
      <c r="E9" s="144" t="s">
        <v>517</v>
      </c>
      <c r="F9" s="144">
        <v>2</v>
      </c>
      <c r="G9" s="307">
        <v>13.97</v>
      </c>
      <c r="H9" s="142">
        <f t="shared" si="0"/>
        <v>27.94</v>
      </c>
    </row>
    <row r="10" spans="1:8">
      <c r="A10" s="325">
        <v>8</v>
      </c>
      <c r="B10" s="141" t="s">
        <v>842</v>
      </c>
      <c r="C10" s="143">
        <v>392189</v>
      </c>
      <c r="D10" s="143"/>
      <c r="E10" s="144" t="s">
        <v>827</v>
      </c>
      <c r="F10" s="144">
        <v>3</v>
      </c>
      <c r="G10" s="307">
        <v>49.9</v>
      </c>
      <c r="H10" s="256">
        <f t="shared" si="0"/>
        <v>149.69999999999999</v>
      </c>
    </row>
    <row r="11" spans="1:8">
      <c r="A11" s="325">
        <v>9</v>
      </c>
      <c r="B11" s="141" t="s">
        <v>843</v>
      </c>
      <c r="C11" s="143">
        <v>392193</v>
      </c>
      <c r="D11" s="143"/>
      <c r="E11" s="144" t="s">
        <v>522</v>
      </c>
      <c r="F11" s="144">
        <v>10</v>
      </c>
      <c r="G11" s="307">
        <v>56.31</v>
      </c>
      <c r="H11" s="256">
        <f t="shared" si="0"/>
        <v>563.1</v>
      </c>
    </row>
    <row r="12" spans="1:8">
      <c r="A12" s="325">
        <v>10</v>
      </c>
      <c r="B12" s="141" t="s">
        <v>844</v>
      </c>
      <c r="C12" s="143">
        <v>347978</v>
      </c>
      <c r="D12" s="143"/>
      <c r="E12" s="144" t="s">
        <v>522</v>
      </c>
      <c r="F12" s="144">
        <v>5</v>
      </c>
      <c r="G12" s="307">
        <v>76.45</v>
      </c>
      <c r="H12" s="256">
        <f t="shared" si="0"/>
        <v>382.25</v>
      </c>
    </row>
    <row r="13" spans="1:8" ht="17.25">
      <c r="A13" s="325">
        <v>11</v>
      </c>
      <c r="B13" s="141" t="s">
        <v>839</v>
      </c>
      <c r="C13" s="143">
        <v>438799</v>
      </c>
      <c r="D13" s="143"/>
      <c r="E13" s="144" t="s">
        <v>522</v>
      </c>
      <c r="F13" s="144">
        <v>2</v>
      </c>
      <c r="G13" s="307">
        <v>22.9</v>
      </c>
      <c r="H13" s="256">
        <f t="shared" si="0"/>
        <v>45.8</v>
      </c>
    </row>
    <row r="14" spans="1:8" ht="17.25">
      <c r="A14" s="325">
        <v>12</v>
      </c>
      <c r="B14" s="141" t="s">
        <v>840</v>
      </c>
      <c r="C14" s="143">
        <v>438800</v>
      </c>
      <c r="D14" s="143"/>
      <c r="E14" s="144" t="s">
        <v>522</v>
      </c>
      <c r="F14" s="144">
        <v>2</v>
      </c>
      <c r="G14" s="307">
        <v>25.9</v>
      </c>
      <c r="H14" s="256">
        <f t="shared" si="0"/>
        <v>51.8</v>
      </c>
    </row>
    <row r="15" spans="1:8" ht="17.25">
      <c r="A15" s="325">
        <v>13</v>
      </c>
      <c r="B15" s="141" t="s">
        <v>841</v>
      </c>
      <c r="C15" s="143">
        <v>438801</v>
      </c>
      <c r="D15" s="143"/>
      <c r="E15" s="144" t="s">
        <v>522</v>
      </c>
      <c r="F15" s="144">
        <v>1</v>
      </c>
      <c r="G15" s="307">
        <v>18.100000000000001</v>
      </c>
      <c r="H15" s="256">
        <f t="shared" si="0"/>
        <v>18.100000000000001</v>
      </c>
    </row>
    <row r="16" spans="1:8">
      <c r="A16" s="325">
        <v>14</v>
      </c>
      <c r="B16" s="141" t="s">
        <v>523</v>
      </c>
      <c r="C16" s="143">
        <v>440972</v>
      </c>
      <c r="D16" s="143">
        <v>414</v>
      </c>
      <c r="E16" s="144" t="s">
        <v>262</v>
      </c>
      <c r="F16" s="144">
        <v>100</v>
      </c>
      <c r="G16" s="307">
        <v>0.06</v>
      </c>
      <c r="H16" s="142">
        <f t="shared" si="0"/>
        <v>6</v>
      </c>
    </row>
    <row r="17" spans="1:8">
      <c r="A17" s="325">
        <v>15</v>
      </c>
      <c r="B17" s="141" t="s">
        <v>524</v>
      </c>
      <c r="C17" s="143">
        <v>431356</v>
      </c>
      <c r="D17" s="143">
        <v>410</v>
      </c>
      <c r="E17" s="144" t="s">
        <v>262</v>
      </c>
      <c r="F17" s="144">
        <v>200</v>
      </c>
      <c r="G17" s="307">
        <v>0.15</v>
      </c>
      <c r="H17" s="142">
        <f t="shared" si="0"/>
        <v>30</v>
      </c>
    </row>
    <row r="18" spans="1:8">
      <c r="A18" s="325">
        <v>16</v>
      </c>
      <c r="B18" s="141" t="s">
        <v>525</v>
      </c>
      <c r="C18" s="143">
        <v>431361</v>
      </c>
      <c r="D18" s="143">
        <v>411</v>
      </c>
      <c r="E18" s="144" t="s">
        <v>262</v>
      </c>
      <c r="F18" s="144">
        <v>100</v>
      </c>
      <c r="G18" s="307">
        <v>0.19</v>
      </c>
      <c r="H18" s="142">
        <f t="shared" si="0"/>
        <v>19</v>
      </c>
    </row>
    <row r="19" spans="1:8">
      <c r="A19" s="325">
        <v>17</v>
      </c>
      <c r="B19" s="326" t="s">
        <v>434</v>
      </c>
      <c r="C19" s="327">
        <v>66893</v>
      </c>
      <c r="D19" s="144"/>
      <c r="E19" s="143" t="s">
        <v>435</v>
      </c>
      <c r="F19" s="143">
        <v>3</v>
      </c>
      <c r="G19" s="307">
        <v>27.49</v>
      </c>
      <c r="H19" s="328">
        <f>ROUND(F19*G19,2)</f>
        <v>82.47</v>
      </c>
    </row>
    <row r="20" spans="1:8">
      <c r="A20" s="325">
        <v>18</v>
      </c>
      <c r="B20" s="326" t="s">
        <v>431</v>
      </c>
      <c r="C20" s="327">
        <v>404467</v>
      </c>
      <c r="D20" s="144"/>
      <c r="E20" s="143" t="s">
        <v>264</v>
      </c>
      <c r="F20" s="143">
        <v>3</v>
      </c>
      <c r="G20" s="307">
        <v>8.65</v>
      </c>
      <c r="H20" s="328">
        <f>ROUND(F20*G20,2)</f>
        <v>25.95</v>
      </c>
    </row>
    <row r="21" spans="1:8">
      <c r="A21" s="325">
        <v>19</v>
      </c>
      <c r="B21" s="141" t="s">
        <v>526</v>
      </c>
      <c r="C21" s="143">
        <v>360700</v>
      </c>
      <c r="D21" s="143">
        <v>3767</v>
      </c>
      <c r="E21" s="144" t="s">
        <v>262</v>
      </c>
      <c r="F21" s="144">
        <v>100</v>
      </c>
      <c r="G21" s="307">
        <v>0.61</v>
      </c>
      <c r="H21" s="142">
        <f t="shared" si="0"/>
        <v>61</v>
      </c>
    </row>
    <row r="22" spans="1:8">
      <c r="A22" s="325">
        <v>20</v>
      </c>
      <c r="B22" s="141" t="s">
        <v>527</v>
      </c>
      <c r="C22" s="143">
        <v>360702</v>
      </c>
      <c r="D22" s="143"/>
      <c r="E22" s="144" t="s">
        <v>262</v>
      </c>
      <c r="F22" s="144">
        <v>100</v>
      </c>
      <c r="G22" s="307">
        <v>1.02</v>
      </c>
      <c r="H22" s="142">
        <f t="shared" si="0"/>
        <v>102</v>
      </c>
    </row>
    <row r="23" spans="1:8">
      <c r="A23" s="325">
        <v>21</v>
      </c>
      <c r="B23" s="141" t="s">
        <v>528</v>
      </c>
      <c r="C23" s="143">
        <v>360673</v>
      </c>
      <c r="D23" s="143"/>
      <c r="E23" s="144" t="s">
        <v>262</v>
      </c>
      <c r="F23" s="144">
        <v>50</v>
      </c>
      <c r="G23" s="307">
        <v>3.79</v>
      </c>
      <c r="H23" s="142">
        <f t="shared" si="0"/>
        <v>189.5</v>
      </c>
    </row>
    <row r="24" spans="1:8">
      <c r="A24" s="325">
        <v>22</v>
      </c>
      <c r="B24" s="141" t="s">
        <v>529</v>
      </c>
      <c r="C24" s="143">
        <v>360675</v>
      </c>
      <c r="D24" s="143"/>
      <c r="E24" s="144" t="s">
        <v>262</v>
      </c>
      <c r="F24" s="144">
        <v>50</v>
      </c>
      <c r="G24" s="307">
        <v>3.89</v>
      </c>
      <c r="H24" s="142">
        <f t="shared" si="0"/>
        <v>194.5</v>
      </c>
    </row>
    <row r="25" spans="1:8">
      <c r="A25" s="325">
        <v>23</v>
      </c>
      <c r="B25" s="141" t="s">
        <v>530</v>
      </c>
      <c r="C25" s="143">
        <v>472050</v>
      </c>
      <c r="D25" s="143"/>
      <c r="E25" s="144" t="s">
        <v>827</v>
      </c>
      <c r="F25" s="144">
        <v>1</v>
      </c>
      <c r="G25" s="307">
        <v>24.29</v>
      </c>
      <c r="H25" s="142">
        <f t="shared" si="0"/>
        <v>24.29</v>
      </c>
    </row>
    <row r="26" spans="1:8">
      <c r="A26" s="325">
        <v>24</v>
      </c>
      <c r="B26" s="141" t="s">
        <v>531</v>
      </c>
      <c r="C26" s="143">
        <v>444582</v>
      </c>
      <c r="D26" s="143">
        <v>5069</v>
      </c>
      <c r="E26" s="144" t="s">
        <v>517</v>
      </c>
      <c r="F26" s="144">
        <v>1</v>
      </c>
      <c r="G26" s="307">
        <v>14.48</v>
      </c>
      <c r="H26" s="142">
        <f t="shared" si="0"/>
        <v>14.48</v>
      </c>
    </row>
    <row r="27" spans="1:8">
      <c r="A27" s="325">
        <v>25</v>
      </c>
      <c r="B27" s="141" t="s">
        <v>532</v>
      </c>
      <c r="C27" s="143">
        <v>467559</v>
      </c>
      <c r="D27" s="143"/>
      <c r="E27" s="144" t="s">
        <v>262</v>
      </c>
      <c r="F27" s="144">
        <v>6</v>
      </c>
      <c r="G27" s="307">
        <v>4.03</v>
      </c>
      <c r="H27" s="142">
        <f t="shared" si="0"/>
        <v>24.18</v>
      </c>
    </row>
    <row r="28" spans="1:8">
      <c r="A28" s="325">
        <v>26</v>
      </c>
      <c r="B28" s="141" t="s">
        <v>533</v>
      </c>
      <c r="C28" s="143">
        <v>334347</v>
      </c>
      <c r="D28" s="143"/>
      <c r="E28" s="144" t="s">
        <v>262</v>
      </c>
      <c r="F28" s="144">
        <v>6</v>
      </c>
      <c r="G28" s="307">
        <v>13.3</v>
      </c>
      <c r="H28" s="142">
        <f t="shared" si="0"/>
        <v>79.8</v>
      </c>
    </row>
    <row r="29" spans="1:8">
      <c r="A29" s="325">
        <v>27</v>
      </c>
      <c r="B29" s="141" t="s">
        <v>534</v>
      </c>
      <c r="C29" s="143">
        <v>397729</v>
      </c>
      <c r="D29" s="143"/>
      <c r="E29" s="144" t="s">
        <v>262</v>
      </c>
      <c r="F29" s="144">
        <v>4</v>
      </c>
      <c r="G29" s="307">
        <v>15.69</v>
      </c>
      <c r="H29" s="142">
        <f t="shared" si="0"/>
        <v>62.76</v>
      </c>
    </row>
    <row r="30" spans="1:8">
      <c r="A30" s="325">
        <v>28</v>
      </c>
      <c r="B30" s="141" t="s">
        <v>535</v>
      </c>
      <c r="C30" s="143">
        <v>397729</v>
      </c>
      <c r="D30" s="143"/>
      <c r="E30" s="144" t="s">
        <v>262</v>
      </c>
      <c r="F30" s="144">
        <v>4</v>
      </c>
      <c r="G30" s="307">
        <v>15.69</v>
      </c>
      <c r="H30" s="142">
        <f t="shared" si="0"/>
        <v>62.76</v>
      </c>
    </row>
    <row r="31" spans="1:8">
      <c r="A31" s="325">
        <v>29</v>
      </c>
      <c r="B31" s="141" t="s">
        <v>536</v>
      </c>
      <c r="C31" s="143">
        <v>259735</v>
      </c>
      <c r="D31" s="143"/>
      <c r="E31" s="144" t="s">
        <v>430</v>
      </c>
      <c r="F31" s="144">
        <v>2</v>
      </c>
      <c r="G31" s="307">
        <v>10.25</v>
      </c>
      <c r="H31" s="142">
        <f t="shared" si="0"/>
        <v>20.5</v>
      </c>
    </row>
    <row r="32" spans="1:8">
      <c r="A32" s="325">
        <v>30</v>
      </c>
      <c r="B32" s="141" t="s">
        <v>537</v>
      </c>
      <c r="C32" s="143">
        <v>344709</v>
      </c>
      <c r="D32" s="143">
        <v>13</v>
      </c>
      <c r="E32" s="144" t="s">
        <v>517</v>
      </c>
      <c r="F32" s="144">
        <v>2</v>
      </c>
      <c r="G32" s="307">
        <v>7.57</v>
      </c>
      <c r="H32" s="142">
        <f t="shared" si="0"/>
        <v>15.14</v>
      </c>
    </row>
    <row r="33" spans="1:10">
      <c r="A33" s="325">
        <v>31</v>
      </c>
      <c r="B33" s="141" t="s">
        <v>538</v>
      </c>
      <c r="C33" s="143">
        <v>472187</v>
      </c>
      <c r="D33" s="143">
        <v>20080</v>
      </c>
      <c r="E33" s="144" t="s">
        <v>519</v>
      </c>
      <c r="F33" s="144">
        <v>1</v>
      </c>
      <c r="G33" s="307">
        <v>21.5</v>
      </c>
      <c r="H33" s="142">
        <f t="shared" si="0"/>
        <v>21.5</v>
      </c>
    </row>
    <row r="34" spans="1:10">
      <c r="A34" s="325">
        <v>32</v>
      </c>
      <c r="B34" s="141" t="s">
        <v>539</v>
      </c>
      <c r="C34" s="143">
        <v>449661</v>
      </c>
      <c r="D34" s="143"/>
      <c r="E34" s="144" t="s">
        <v>262</v>
      </c>
      <c r="F34" s="144">
        <v>5</v>
      </c>
      <c r="G34" s="307">
        <v>3.24</v>
      </c>
      <c r="H34" s="142">
        <f t="shared" si="0"/>
        <v>16.2</v>
      </c>
    </row>
    <row r="35" spans="1:10">
      <c r="A35" s="325">
        <v>33</v>
      </c>
      <c r="B35" s="141" t="s">
        <v>540</v>
      </c>
      <c r="C35" s="143">
        <v>454296</v>
      </c>
      <c r="D35" s="143"/>
      <c r="E35" s="144" t="s">
        <v>262</v>
      </c>
      <c r="F35" s="144">
        <v>5</v>
      </c>
      <c r="G35" s="307">
        <v>2</v>
      </c>
      <c r="H35" s="142">
        <f t="shared" si="0"/>
        <v>10</v>
      </c>
    </row>
    <row r="36" spans="1:10">
      <c r="A36" s="325">
        <v>34</v>
      </c>
      <c r="B36" s="141" t="s">
        <v>541</v>
      </c>
      <c r="C36" s="143">
        <v>443315</v>
      </c>
      <c r="D36" s="143"/>
      <c r="E36" s="144" t="s">
        <v>262</v>
      </c>
      <c r="F36" s="144">
        <v>5</v>
      </c>
      <c r="G36" s="307">
        <v>10.9</v>
      </c>
      <c r="H36" s="142">
        <f t="shared" si="0"/>
        <v>54.5</v>
      </c>
    </row>
    <row r="37" spans="1:10">
      <c r="A37" s="325">
        <v>35</v>
      </c>
      <c r="B37" s="141" t="s">
        <v>542</v>
      </c>
      <c r="C37" s="143">
        <v>456292</v>
      </c>
      <c r="D37" s="143"/>
      <c r="E37" s="144" t="s">
        <v>262</v>
      </c>
      <c r="F37" s="144">
        <v>5</v>
      </c>
      <c r="G37" s="307">
        <v>2.88</v>
      </c>
      <c r="H37" s="142">
        <f t="shared" si="0"/>
        <v>14.4</v>
      </c>
    </row>
    <row r="38" spans="1:10">
      <c r="A38" s="325">
        <v>36</v>
      </c>
      <c r="B38" s="145" t="s">
        <v>543</v>
      </c>
      <c r="C38" s="146">
        <v>355427</v>
      </c>
      <c r="D38" s="146">
        <v>42015</v>
      </c>
      <c r="E38" s="146" t="s">
        <v>360</v>
      </c>
      <c r="F38" s="143">
        <v>200</v>
      </c>
      <c r="G38" s="307">
        <v>1.6</v>
      </c>
      <c r="H38" s="142">
        <f t="shared" si="0"/>
        <v>320</v>
      </c>
    </row>
    <row r="39" spans="1:10">
      <c r="A39" s="325">
        <v>37</v>
      </c>
      <c r="B39" s="147" t="s">
        <v>544</v>
      </c>
      <c r="C39" s="143">
        <v>370651</v>
      </c>
      <c r="D39" s="143"/>
      <c r="E39" s="144" t="s">
        <v>513</v>
      </c>
      <c r="F39" s="143">
        <v>1</v>
      </c>
      <c r="G39" s="307">
        <v>200</v>
      </c>
      <c r="H39" s="142">
        <f t="shared" si="0"/>
        <v>200</v>
      </c>
    </row>
    <row r="40" spans="1:10">
      <c r="A40" s="325">
        <v>38</v>
      </c>
      <c r="B40" s="147" t="s">
        <v>545</v>
      </c>
      <c r="C40" s="143">
        <v>396594</v>
      </c>
      <c r="D40" s="143"/>
      <c r="E40" s="144" t="s">
        <v>430</v>
      </c>
      <c r="F40" s="143">
        <v>1</v>
      </c>
      <c r="G40" s="307">
        <v>479.53</v>
      </c>
      <c r="H40" s="142">
        <f t="shared" si="0"/>
        <v>479.53</v>
      </c>
    </row>
    <row r="41" spans="1:10">
      <c r="A41" s="325">
        <v>39</v>
      </c>
      <c r="B41" s="141" t="s">
        <v>546</v>
      </c>
      <c r="C41" s="143">
        <v>474487</v>
      </c>
      <c r="D41" s="143"/>
      <c r="E41" s="144" t="s">
        <v>519</v>
      </c>
      <c r="F41" s="143">
        <v>3</v>
      </c>
      <c r="G41" s="307">
        <v>8.39</v>
      </c>
      <c r="H41" s="142">
        <f t="shared" si="0"/>
        <v>25.17</v>
      </c>
    </row>
    <row r="42" spans="1:10" ht="25.5">
      <c r="A42" s="325">
        <v>40</v>
      </c>
      <c r="B42" s="148" t="s">
        <v>547</v>
      </c>
      <c r="C42" s="146">
        <v>453723</v>
      </c>
      <c r="D42" s="146"/>
      <c r="E42" s="144" t="s">
        <v>262</v>
      </c>
      <c r="F42" s="146">
        <v>4</v>
      </c>
      <c r="G42" s="307">
        <v>15.4</v>
      </c>
      <c r="H42" s="142">
        <f t="shared" si="0"/>
        <v>61.6</v>
      </c>
    </row>
    <row r="43" spans="1:10" ht="25.5">
      <c r="A43" s="325">
        <v>41</v>
      </c>
      <c r="B43" s="148" t="s">
        <v>548</v>
      </c>
      <c r="C43" s="146">
        <v>453722</v>
      </c>
      <c r="D43" s="146"/>
      <c r="E43" s="144" t="s">
        <v>262</v>
      </c>
      <c r="F43" s="146">
        <v>5</v>
      </c>
      <c r="G43" s="307">
        <v>3.6</v>
      </c>
      <c r="H43" s="142">
        <f t="shared" si="0"/>
        <v>18</v>
      </c>
    </row>
    <row r="44" spans="1:10" ht="25.5">
      <c r="A44" s="325">
        <v>42</v>
      </c>
      <c r="B44" s="148" t="s">
        <v>549</v>
      </c>
      <c r="C44" s="146">
        <v>228219</v>
      </c>
      <c r="D44" s="146"/>
      <c r="E44" s="144" t="s">
        <v>262</v>
      </c>
      <c r="F44" s="146">
        <v>5</v>
      </c>
      <c r="G44" s="307">
        <v>2.0499999999999998</v>
      </c>
      <c r="H44" s="142">
        <f t="shared" si="0"/>
        <v>10.25</v>
      </c>
    </row>
    <row r="45" spans="1:10" ht="38.25">
      <c r="A45" s="325">
        <v>43</v>
      </c>
      <c r="B45" s="149" t="s">
        <v>550</v>
      </c>
      <c r="C45" s="150">
        <v>228218</v>
      </c>
      <c r="D45" s="150"/>
      <c r="E45" s="151" t="s">
        <v>262</v>
      </c>
      <c r="F45" s="150">
        <v>5</v>
      </c>
      <c r="G45" s="308">
        <v>6.29</v>
      </c>
      <c r="H45" s="142">
        <f>ROUND(F45*G45,2)</f>
        <v>31.45</v>
      </c>
    </row>
    <row r="46" spans="1:10" ht="25.5">
      <c r="A46" s="325">
        <v>44</v>
      </c>
      <c r="B46" s="148" t="s">
        <v>551</v>
      </c>
      <c r="C46" s="146">
        <v>233912</v>
      </c>
      <c r="D46" s="146"/>
      <c r="E46" s="144" t="s">
        <v>262</v>
      </c>
      <c r="F46" s="146">
        <v>5</v>
      </c>
      <c r="G46" s="307">
        <v>3.4</v>
      </c>
      <c r="H46" s="142">
        <f>ROUND(F46*G46,2)</f>
        <v>17</v>
      </c>
      <c r="J46" s="129"/>
    </row>
    <row r="47" spans="1:10">
      <c r="A47" s="325">
        <v>45</v>
      </c>
      <c r="B47" s="148" t="s">
        <v>552</v>
      </c>
      <c r="C47" s="146">
        <v>349549</v>
      </c>
      <c r="D47" s="146">
        <v>404</v>
      </c>
      <c r="E47" s="144" t="s">
        <v>321</v>
      </c>
      <c r="F47" s="146">
        <v>100</v>
      </c>
      <c r="G47" s="307">
        <v>2.0299999999999998</v>
      </c>
      <c r="H47" s="142">
        <f t="shared" si="0"/>
        <v>203</v>
      </c>
    </row>
    <row r="48" spans="1:10">
      <c r="A48" s="325">
        <v>46</v>
      </c>
      <c r="B48" s="148" t="s">
        <v>845</v>
      </c>
      <c r="C48" s="146">
        <v>39934</v>
      </c>
      <c r="D48" s="146">
        <v>11055</v>
      </c>
      <c r="E48" s="144" t="s">
        <v>262</v>
      </c>
      <c r="F48" s="146">
        <v>100</v>
      </c>
      <c r="G48" s="307">
        <v>7.0000000000000007E-2</v>
      </c>
      <c r="H48" s="142">
        <f t="shared" si="0"/>
        <v>7</v>
      </c>
    </row>
    <row r="49" spans="1:8" ht="25.5">
      <c r="A49" s="325">
        <v>47</v>
      </c>
      <c r="B49" s="148" t="s">
        <v>846</v>
      </c>
      <c r="C49" s="146">
        <v>39934</v>
      </c>
      <c r="D49" s="146">
        <v>4377</v>
      </c>
      <c r="E49" s="144" t="s">
        <v>262</v>
      </c>
      <c r="F49" s="146">
        <v>100</v>
      </c>
      <c r="G49" s="307">
        <v>0.13</v>
      </c>
      <c r="H49" s="142">
        <f t="shared" si="0"/>
        <v>13</v>
      </c>
    </row>
    <row r="50" spans="1:8">
      <c r="A50" s="325">
        <v>48</v>
      </c>
      <c r="B50" s="148" t="s">
        <v>847</v>
      </c>
      <c r="C50" s="146">
        <v>39934</v>
      </c>
      <c r="D50" s="146">
        <v>11058</v>
      </c>
      <c r="E50" s="144" t="s">
        <v>262</v>
      </c>
      <c r="F50" s="146">
        <v>50</v>
      </c>
      <c r="G50" s="307">
        <v>0.41</v>
      </c>
      <c r="H50" s="142">
        <f>ROUND(F50*G50,2)</f>
        <v>20.5</v>
      </c>
    </row>
    <row r="51" spans="1:8">
      <c r="A51" s="623" t="s">
        <v>769</v>
      </c>
      <c r="B51" s="623"/>
      <c r="C51" s="623"/>
      <c r="D51" s="623"/>
      <c r="E51" s="623"/>
      <c r="F51" s="623"/>
      <c r="G51" s="623"/>
      <c r="H51" s="154">
        <f>SUM(H3:H50)</f>
        <v>4125.3999999999996</v>
      </c>
    </row>
    <row r="52" spans="1:8">
      <c r="A52" s="622" t="s">
        <v>511</v>
      </c>
      <c r="B52" s="622"/>
      <c r="C52" s="622"/>
      <c r="D52" s="622"/>
      <c r="E52" s="622"/>
      <c r="F52" s="622"/>
      <c r="G52" s="622"/>
      <c r="H52" s="153">
        <v>12</v>
      </c>
    </row>
    <row r="53" spans="1:8">
      <c r="A53" s="622" t="s">
        <v>684</v>
      </c>
      <c r="B53" s="622"/>
      <c r="C53" s="622"/>
      <c r="D53" s="622"/>
      <c r="E53" s="622"/>
      <c r="F53" s="622"/>
      <c r="G53" s="622"/>
      <c r="H53" s="152">
        <f>H51/H52</f>
        <v>343.7833333333333</v>
      </c>
    </row>
    <row r="54" spans="1:8">
      <c r="A54" s="622" t="s">
        <v>683</v>
      </c>
      <c r="B54" s="622"/>
      <c r="C54" s="622"/>
      <c r="D54" s="622"/>
      <c r="E54" s="622"/>
      <c r="F54" s="622"/>
      <c r="G54" s="622"/>
      <c r="H54" s="153">
        <v>3</v>
      </c>
    </row>
    <row r="55" spans="1:8">
      <c r="A55" s="621" t="s">
        <v>686</v>
      </c>
      <c r="B55" s="621"/>
      <c r="C55" s="621"/>
      <c r="D55" s="621"/>
      <c r="E55" s="621"/>
      <c r="F55" s="621"/>
      <c r="G55" s="621"/>
      <c r="H55" s="209">
        <f>H53/H54</f>
        <v>114.59444444444443</v>
      </c>
    </row>
    <row r="56" spans="1:8">
      <c r="A56" s="155"/>
      <c r="B56" s="155"/>
      <c r="C56" s="155"/>
      <c r="D56" s="155"/>
      <c r="E56" s="155"/>
      <c r="F56" s="155"/>
      <c r="G56" s="155"/>
      <c r="H56" s="156"/>
    </row>
    <row r="57" spans="1:8">
      <c r="A57" s="155"/>
      <c r="B57" s="155"/>
      <c r="C57" s="155"/>
      <c r="D57" s="155"/>
      <c r="E57" s="155"/>
      <c r="F57" s="155"/>
      <c r="G57" s="155"/>
      <c r="H57" s="156"/>
    </row>
    <row r="58" spans="1:8">
      <c r="A58" s="620" t="s">
        <v>763</v>
      </c>
      <c r="B58" s="620"/>
      <c r="C58" s="620"/>
      <c r="D58" s="620"/>
      <c r="E58" s="620"/>
      <c r="F58" s="620"/>
      <c r="G58" s="620"/>
      <c r="H58" s="620"/>
    </row>
    <row r="59" spans="1:8">
      <c r="A59" s="157"/>
      <c r="B59" s="157"/>
      <c r="C59" s="157"/>
      <c r="D59" s="157"/>
      <c r="E59" s="157"/>
      <c r="F59" s="157"/>
      <c r="G59" s="157"/>
      <c r="H59" s="158"/>
    </row>
  </sheetData>
  <sheetProtection algorithmName="SHA-512" hashValue="RVnWmCdT2Av+C01IFYl+1ItdDwVswu0l+bT4dzTaKQZHQNeN60SIj4nuSLTP2yJLy3SuUxedEpnH34X3o33cOw==" saltValue="cBywbv+M2TUfmSe6cZkhMg==" spinCount="100000" sheet="1" selectLockedCells="1"/>
  <mergeCells count="7">
    <mergeCell ref="A58:H58"/>
    <mergeCell ref="A55:G55"/>
    <mergeCell ref="A52:G52"/>
    <mergeCell ref="A51:G51"/>
    <mergeCell ref="A1:H1"/>
    <mergeCell ref="A53:G53"/>
    <mergeCell ref="A54:G54"/>
  </mergeCells>
  <pageMargins left="0.51181102362204722" right="0.51181102362204722" top="0.78740157480314965" bottom="0.78740157480314965" header="0.31496062992125984" footer="0.31496062992125984"/>
  <pageSetup paperSize="9" scale="61" fitToHeight="0" orientation="portrait"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Planilhas</vt:lpstr>
      </vt:variant>
      <vt:variant>
        <vt:i4>20</vt:i4>
      </vt:variant>
      <vt:variant>
        <vt:lpstr>Intervalos nomeados</vt:lpstr>
      </vt:variant>
      <vt:variant>
        <vt:i4>3</vt:i4>
      </vt:variant>
    </vt:vector>
  </HeadingPairs>
  <TitlesOfParts>
    <vt:vector size="23" baseType="lpstr">
      <vt:lpstr>Quadro Resumo dos Serviços</vt:lpstr>
      <vt:lpstr>Quadro Resumo 1.1 e 1.2</vt:lpstr>
      <vt:lpstr>1.1</vt:lpstr>
      <vt:lpstr>Servente de Limpeza Líder</vt:lpstr>
      <vt:lpstr>Limpador de Vidros</vt:lpstr>
      <vt:lpstr>1.2</vt:lpstr>
      <vt:lpstr>Uniformes</vt:lpstr>
      <vt:lpstr>EPI's</vt:lpstr>
      <vt:lpstr>Insumos</vt:lpstr>
      <vt:lpstr>Ferramentas</vt:lpstr>
      <vt:lpstr>Equipamentos</vt:lpstr>
      <vt:lpstr>2.1</vt:lpstr>
      <vt:lpstr>2.2, 3.2 e 6.3</vt:lpstr>
      <vt:lpstr>4.1</vt:lpstr>
      <vt:lpstr>4.3 e 5.3</vt:lpstr>
      <vt:lpstr>6</vt:lpstr>
      <vt:lpstr>Descontos</vt:lpstr>
      <vt:lpstr>Produtividade IN 05-2017</vt:lpstr>
      <vt:lpstr>Produtividade x M2</vt:lpstr>
      <vt:lpstr>Proposta Comercial</vt:lpstr>
      <vt:lpstr>'1.1'!Area_de_impressao</vt:lpstr>
      <vt:lpstr>'1.2'!Area_de_impressao</vt:lpstr>
      <vt:lpstr>TabelaValores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LESLIE SOARES PEREIRA</dc:creator>
  <cp:keywords/>
  <dc:description/>
  <cp:lastModifiedBy>vivianev</cp:lastModifiedBy>
  <cp:revision>14</cp:revision>
  <cp:lastPrinted>2021-11-11T21:59:10Z</cp:lastPrinted>
  <dcterms:created xsi:type="dcterms:W3CDTF">2017-06-02T16:18:47Z</dcterms:created>
  <dcterms:modified xsi:type="dcterms:W3CDTF">2021-12-13T13:24:06Z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