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/>
  <bookViews>
    <workbookView xWindow="0" yWindow="0" windowWidth="24240" windowHeight="12435" activeTab="1"/>
  </bookViews>
  <sheets>
    <sheet name="Planilha de Custos- Motoristas" sheetId="3" r:id="rId1"/>
    <sheet name="Resumo-Veículos e motoristas" sheetId="4" r:id="rId2"/>
  </sheets>
  <definedNames>
    <definedName name="_xlnm.Print_Area" localSheetId="0">'Planilha de Custos- Motoristas'!$A$1:$I$167</definedName>
  </definedNames>
  <calcPr calcId="145621"/>
</workbook>
</file>

<file path=xl/calcChain.xml><?xml version="1.0" encoding="utf-8"?>
<calcChain xmlns="http://schemas.openxmlformats.org/spreadsheetml/2006/main">
  <c r="G167" i="3" l="1"/>
  <c r="G7" i="4"/>
  <c r="H7" i="4" s="1"/>
  <c r="H6" i="4"/>
  <c r="G6" i="4"/>
  <c r="I6" i="4" s="1"/>
  <c r="G4" i="4"/>
  <c r="I4" i="4" s="1"/>
  <c r="G5" i="4"/>
  <c r="I5" i="4" s="1"/>
  <c r="G3" i="4"/>
  <c r="I3" i="4" s="1"/>
  <c r="H5" i="4" l="1"/>
  <c r="H4" i="4"/>
  <c r="I7" i="4"/>
  <c r="H3" i="4"/>
  <c r="H65" i="3"/>
  <c r="H118" i="3"/>
  <c r="H102" i="3"/>
  <c r="H101" i="3"/>
  <c r="H100" i="3"/>
  <c r="H98" i="3"/>
  <c r="H97" i="3"/>
  <c r="H96" i="3"/>
  <c r="H95" i="3"/>
  <c r="H94" i="3"/>
  <c r="H59" i="3"/>
  <c r="F165" i="3" l="1"/>
  <c r="E164" i="3" l="1"/>
  <c r="G164" i="3" s="1"/>
  <c r="E143" i="3" l="1"/>
  <c r="H139" i="3" s="1"/>
  <c r="C162" i="3" s="1"/>
  <c r="H132" i="3" l="1"/>
  <c r="H131" i="3"/>
  <c r="H130" i="3"/>
  <c r="H129" i="3"/>
  <c r="H128" i="3"/>
  <c r="H127" i="3"/>
  <c r="H126" i="3"/>
  <c r="H125" i="3"/>
  <c r="G96" i="3"/>
  <c r="G95" i="3"/>
  <c r="G80" i="3"/>
  <c r="H57" i="3"/>
  <c r="H56" i="3"/>
  <c r="C23" i="3"/>
  <c r="C25" i="3" s="1"/>
  <c r="G156" i="3" s="1"/>
  <c r="H44" i="3" l="1"/>
  <c r="H48" i="3"/>
  <c r="H47" i="3"/>
  <c r="H42" i="3"/>
  <c r="H46" i="3"/>
  <c r="H45" i="3"/>
  <c r="H41" i="3"/>
  <c r="H58" i="3"/>
  <c r="H133" i="3"/>
  <c r="G160" i="3" s="1"/>
  <c r="H79" i="3"/>
  <c r="H108" i="3"/>
  <c r="H109" i="3" s="1"/>
  <c r="H82" i="3"/>
  <c r="H80" i="3"/>
  <c r="G97" i="3"/>
  <c r="G94" i="3"/>
  <c r="G100" i="3" l="1"/>
  <c r="H81" i="3"/>
  <c r="H84" i="3"/>
  <c r="H73" i="3"/>
  <c r="G43" i="3"/>
  <c r="G49" i="3" l="1"/>
  <c r="H43" i="3"/>
  <c r="H49" i="3" s="1"/>
  <c r="G83" i="3"/>
  <c r="G101" i="3"/>
  <c r="H117" i="3" s="1"/>
  <c r="G51" i="3"/>
  <c r="H51" i="3" l="1"/>
  <c r="G110" i="3"/>
  <c r="H110" i="3" s="1"/>
  <c r="H111" i="3" s="1"/>
  <c r="H119" i="3" s="1"/>
  <c r="G159" i="3" s="1"/>
  <c r="H83" i="3"/>
  <c r="H85" i="3" s="1"/>
  <c r="G158" i="3" s="1"/>
  <c r="G102" i="3"/>
  <c r="H72" i="3"/>
  <c r="C32" i="3"/>
  <c r="C33" i="3" l="1"/>
  <c r="E33" i="3" s="1"/>
  <c r="E32" i="3"/>
  <c r="E34" i="3" s="1"/>
  <c r="C34" i="3"/>
  <c r="C35" i="3" l="1"/>
  <c r="E35" i="3" s="1"/>
  <c r="E36" i="3" s="1"/>
  <c r="H71" i="3" s="1"/>
  <c r="H74" i="3" s="1"/>
  <c r="G157" i="3" s="1"/>
  <c r="G161" i="3" l="1"/>
  <c r="G162" i="3" l="1"/>
  <c r="G163" i="3" s="1"/>
  <c r="G8" i="4" l="1"/>
  <c r="H8" i="4"/>
  <c r="I8" i="4" l="1"/>
</calcChain>
</file>

<file path=xl/comments1.xml><?xml version="1.0" encoding="utf-8"?>
<comments xmlns="http://schemas.openxmlformats.org/spreadsheetml/2006/main">
  <authors>
    <author/>
    <author>Stephanie Hung</author>
  </authors>
  <commentList>
    <comment ref="D43" authorId="0">
      <text>
        <r>
          <rPr>
            <b/>
            <sz val="9"/>
            <color indexed="8"/>
            <rFont val="Segoe UI"/>
            <family val="2"/>
          </rPr>
          <t xml:space="preserve">Riscos Ambientais do Trabalho: 1%, 2% ou 3%
</t>
        </r>
      </text>
    </comment>
    <comment ref="F43" authorId="0">
      <text>
        <r>
          <rPr>
            <b/>
            <sz val="9"/>
            <color indexed="8"/>
            <rFont val="Segoe UI"/>
            <family val="2"/>
          </rPr>
          <t>Fator Acidentário de Prevenção: 0,5 a 2.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 xml:space="preserve">Se o trabalhador não for sindicalizado, poderá ser descontado até o limite de 20%
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 xml:space="preserve">Percentual de funcionários que ausentaram por licença paternidade no ano
</t>
        </r>
      </text>
    </comment>
    <comment ref="B107" authorId="1">
      <text>
        <r>
          <rPr>
            <b/>
            <sz val="9"/>
            <color indexed="81"/>
            <rFont val="Tahoma"/>
            <family val="2"/>
          </rPr>
          <t xml:space="preserve">Não se aplica intrajornada nesta contratação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<sst xmlns="http://schemas.openxmlformats.org/spreadsheetml/2006/main" count="255" uniqueCount="161">
  <si>
    <t>Total</t>
  </si>
  <si>
    <t>Férias</t>
  </si>
  <si>
    <t>SEBRAE</t>
  </si>
  <si>
    <t>INCRA</t>
  </si>
  <si>
    <t>FGTS</t>
  </si>
  <si>
    <t>Valor diário</t>
  </si>
  <si>
    <t>Insumos Diversos</t>
  </si>
  <si>
    <t>Custos Indiretos, Tributos e Lucro</t>
  </si>
  <si>
    <t>Tributos</t>
  </si>
  <si>
    <t>Lucro</t>
  </si>
  <si>
    <t>Calça</t>
  </si>
  <si>
    <t>Sapato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</si>
  <si>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</si>
  <si>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</si>
  <si>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</si>
  <si>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</si>
  <si>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</si>
  <si>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</si>
  <si>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C</t>
  </si>
  <si>
    <t>D</t>
  </si>
  <si>
    <t>E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</si>
  <si>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</si>
  <si>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</si>
  <si>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</si>
  <si>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</si>
  <si>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</si>
  <si>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</si>
  <si>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</si>
  <si>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</si>
  <si>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</si>
  <si>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</si>
  <si>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</si>
  <si>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</si>
  <si>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</si>
  <si>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</si>
  <si>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</si>
  <si>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</si>
  <si>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</si>
  <si>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</si>
  <si>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</si>
  <si>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</si>
  <si>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</si>
  <si>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</si>
  <si>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</si>
  <si>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</si>
  <si>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</si>
  <si>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</si>
  <si>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</si>
  <si>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</si>
  <si>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</si>
  <si>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</si>
  <si>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</si>
  <si>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</si>
  <si>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</si>
  <si>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</si>
  <si>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</si>
  <si>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</si>
  <si>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</si>
  <si>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</si>
  <si>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</si>
  <si>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</si>
  <si>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</si>
  <si>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</si>
  <si>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</si>
  <si>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</si>
  <si>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</si>
  <si>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</si>
  <si>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</si>
  <si>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</si>
  <si>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</si>
  <si>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</si>
  <si>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</si>
  <si>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 xml:space="preserve">Valor Total por Empregado </t>
  </si>
  <si>
    <t>PLANILHA DE CUSTOS E FORMAÇÃO DE PREÇOS</t>
  </si>
  <si>
    <t>Com ajustes após publicação da Lei n° 13.467, de 2017.</t>
  </si>
  <si>
    <t>Intervalo para repouso e alimentação</t>
  </si>
  <si>
    <t>Locação de veículos com fornecimento parcial de serviço de motoristas (44 h/semanal)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</si>
  <si>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</si>
  <si>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</si>
  <si>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</si>
  <si>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</si>
  <si>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</si>
  <si>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Dia _______/_______/_______ às  ______:_______</t>
  </si>
  <si>
    <t>%</t>
  </si>
  <si>
    <t>Total (Base do cálculo principal)</t>
  </si>
  <si>
    <t>Subtotal</t>
  </si>
  <si>
    <t>Total Submódulo 2.1</t>
  </si>
  <si>
    <t>SAT (RAT*FAP)</t>
  </si>
  <si>
    <t>RAT</t>
  </si>
  <si>
    <t>FAP</t>
  </si>
  <si>
    <t>Previsão mensal de horas extras 50 %  - 3 horas e meia</t>
  </si>
  <si>
    <t>Nome do sindicato:</t>
  </si>
  <si>
    <t>Bilhete por dia</t>
  </si>
  <si>
    <t>Valor integração</t>
  </si>
  <si>
    <t>Incidência do submódulo 2.2 no módulo 01</t>
  </si>
  <si>
    <t>Participação do empregado (% sobre o valor do VR ou VA</t>
  </si>
  <si>
    <t>13º (décimo terceiro) Salário, Férias e Adicional de Férias (com incidência do submódulo 2.2)</t>
  </si>
  <si>
    <t>GPS, FGTS e outras contribuições (com incidência do submódulo 2.2 no módulo 01)</t>
  </si>
  <si>
    <t>Número de ausências por ano (dias)</t>
  </si>
  <si>
    <t>% de ocorrência</t>
  </si>
  <si>
    <t>Dias de licença</t>
  </si>
  <si>
    <t>* valores baseados no histórico do presente contrato</t>
  </si>
  <si>
    <t xml:space="preserve">Subtotal </t>
  </si>
  <si>
    <t>Incidência do submódulo 2.2</t>
  </si>
  <si>
    <t>Total do submódulo 4.1</t>
  </si>
  <si>
    <t>* Porcentagens baseados no contrato atual e nos índices referenciais do TCU para a planilha inicial</t>
  </si>
  <si>
    <t>Camisa manga comprida / curta</t>
  </si>
  <si>
    <t>Meia</t>
  </si>
  <si>
    <t>Japona</t>
  </si>
  <si>
    <t>Cinto</t>
  </si>
  <si>
    <t>Crachá de identificação</t>
  </si>
  <si>
    <t>Blusa de lã acrílica</t>
  </si>
  <si>
    <t>Custo unitário (R$)</t>
  </si>
  <si>
    <t>Vida útil (meses)</t>
  </si>
  <si>
    <t>Quantidade</t>
  </si>
  <si>
    <t>Custos Indiretos (Despesa Administrativa + Despesa Operacional</t>
  </si>
  <si>
    <t>Alíquota</t>
  </si>
  <si>
    <t>Tributos Federais (especificar)</t>
  </si>
  <si>
    <t>Tributos Estaduais (especificar)</t>
  </si>
  <si>
    <t>Tributos Municipais (especificar)</t>
  </si>
  <si>
    <t>Outros tributos</t>
  </si>
  <si>
    <t>BDI com fórmula</t>
  </si>
  <si>
    <t>Incidência do Módulo 6 – Custos Indiretos, Tributos e Lucro</t>
  </si>
  <si>
    <t>Base de cálculo para tributos</t>
  </si>
  <si>
    <t>PIS</t>
  </si>
  <si>
    <t>COFINS</t>
  </si>
  <si>
    <t>Outros</t>
  </si>
  <si>
    <t>ISSQN</t>
  </si>
  <si>
    <t>Contrapartida do empregado (6% sobre o salário base) - Desconto</t>
  </si>
  <si>
    <t>Incidência do submodulo 2.2 no módulo 2.1</t>
  </si>
  <si>
    <t>Incidência do submódulo 2.2 no submódulo 4.2</t>
  </si>
  <si>
    <t>Total Tributos</t>
  </si>
  <si>
    <t>Seguro de vida</t>
  </si>
  <si>
    <t>Auxílio Funeral</t>
  </si>
  <si>
    <t>Assistência médica (quando aplicável)</t>
  </si>
  <si>
    <t>Convênio odontológico (quando aplicável)</t>
  </si>
  <si>
    <t>Valor total mão de obra</t>
  </si>
  <si>
    <t>Item</t>
  </si>
  <si>
    <t>Descrição</t>
  </si>
  <si>
    <t>Unid.</t>
  </si>
  <si>
    <t>Quant. contratação inicial</t>
  </si>
  <si>
    <t>Quant. total a registrar</t>
  </si>
  <si>
    <t>Valor unitário médio</t>
  </si>
  <si>
    <t>Valor total estimado – 12 meses</t>
  </si>
  <si>
    <t>Valor total estimado – 24 meses</t>
  </si>
  <si>
    <t>Veículo</t>
  </si>
  <si>
    <t>Diária</t>
  </si>
  <si>
    <t>Posto de Trabalho</t>
  </si>
  <si>
    <t>TOTAIS:</t>
  </si>
  <si>
    <r>
      <t>Valor mensal</t>
    </r>
    <r>
      <rPr>
        <b/>
        <u/>
        <sz val="10"/>
        <rFont val="Calibri"/>
        <family val="2"/>
        <scheme val="minor"/>
      </rPr>
      <t>/diário</t>
    </r>
    <r>
      <rPr>
        <b/>
        <sz val="10"/>
        <rFont val="Calibri"/>
        <family val="2"/>
        <scheme val="minor"/>
      </rPr>
      <t xml:space="preserve"> médio</t>
    </r>
  </si>
  <si>
    <r>
      <t>Veículo Tipo 1</t>
    </r>
    <r>
      <rPr>
        <sz val="10"/>
        <rFont val="Calibri"/>
        <family val="2"/>
        <scheme val="minor"/>
      </rPr>
      <t xml:space="preserve"> - Automóvel 4 ou 5p; Sedan ou hatchback; Motorização mínima 1.6; Transmissão mecânica.</t>
    </r>
  </si>
  <si>
    <r>
      <t>Veículo Tipo 2</t>
    </r>
    <r>
      <rPr>
        <sz val="10"/>
        <rFont val="Calibri"/>
        <family val="2"/>
        <scheme val="minor"/>
      </rPr>
      <t xml:space="preserve"> - Automóvel 4 ou 5p; Sedan ou hatchback; Motorização 1.8 a 2.0; Transmissão mecânica.</t>
    </r>
  </si>
  <si>
    <r>
      <t>Veículo Tipo 3</t>
    </r>
    <r>
      <rPr>
        <sz val="10"/>
        <rFont val="Calibri"/>
        <family val="2"/>
        <scheme val="minor"/>
      </rPr>
      <t xml:space="preserve"> - Tipo “furgão” (transporte misto: passageiros e cargas no mesmo compartimento); Mínimo 2 portas; Motorização mínima 1.6; Nacional; Transmissão mecânica.</t>
    </r>
  </si>
  <si>
    <r>
      <t>Veículo Tipo 4</t>
    </r>
    <r>
      <rPr>
        <sz val="10"/>
        <rFont val="Calibri"/>
        <family val="2"/>
        <scheme val="minor"/>
      </rPr>
      <t xml:space="preserve"> - Tipo “furgão” (transporte misto: passageiros e cargas no mesmo compartimento); Mínimo 2 portas; Motorização mínima 2.2; Transmissão mecânica; Diesel</t>
    </r>
  </si>
  <si>
    <t>QUADRO RESUMO - LOCAÇÃO DE VEÍCULOS E CONTRATAÇÃO DE SERVIÇO PARCIAL DE MOTORISTAS</t>
  </si>
  <si>
    <t>Serviço de motoristas (mão de obra total)</t>
  </si>
  <si>
    <t>Quantidade mensal (baseado no contrato atual)</t>
  </si>
  <si>
    <t xml:space="preserve">Pernoite valor referencial de 7 UFESP por noite </t>
  </si>
  <si>
    <t>Quantidade por motorista (mensal)</t>
  </si>
  <si>
    <t>Licitação Nº:  PE 21/2018</t>
  </si>
  <si>
    <t>Nº do Processo: 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</si>
</sst>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&quot;R$&quot;\ #,##0.00"/>
    <numFmt numFmtId="166" formatCode="&quot;R$&quot;#,##0.00"/>
    <numFmt numFmtId="167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7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indexed="8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1">
    <xf numFmtId="0" fontId="0" fillId="0" borderId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10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3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10" fontId="3" fillId="0" borderId="3" xfId="0" applyNumberFormat="1" applyFont="1" applyBorder="1" applyAlignment="1">
      <alignment horizontal="center"/>
    </xf>
    <xf numFmtId="0" fontId="22" fillId="0" borderId="0" xfId="0" applyFont="1"/>
    <xf numFmtId="1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34" borderId="24" xfId="0" applyNumberFormat="1" applyFont="1" applyFill="1" applyBorder="1" applyAlignment="1">
      <alignment horizontal="center" vertical="center" wrapText="1"/>
    </xf>
    <xf numFmtId="10" fontId="3" fillId="34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0" fontId="31" fillId="38" borderId="24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4" fontId="31" fillId="38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/>
    <xf numFmtId="166" fontId="3" fillId="0" borderId="0" xfId="0" applyNumberFormat="1" applyFont="1"/>
    <xf numFmtId="167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0" fontId="3" fillId="0" borderId="24" xfId="0" applyNumberFormat="1" applyFont="1" applyBorder="1" applyAlignment="1" applyProtection="1">
      <alignment horizontal="center" vertical="center" wrapText="1"/>
      <protection locked="0"/>
    </xf>
    <xf numFmtId="2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0" fontId="3" fillId="0" borderId="6" xfId="0" applyNumberFormat="1" applyFont="1" applyBorder="1" applyAlignment="1" applyProtection="1">
      <alignment horizontal="center" vertical="center" wrapText="1"/>
      <protection locked="0"/>
    </xf>
    <xf numFmtId="10" fontId="3" fillId="0" borderId="26" xfId="0" applyNumberFormat="1" applyFont="1" applyBorder="1" applyAlignment="1" applyProtection="1">
      <alignment horizontal="center" vertical="center" wrapText="1"/>
      <protection locked="0"/>
    </xf>
    <xf numFmtId="10" fontId="3" fillId="0" borderId="24" xfId="0" applyNumberFormat="1" applyFont="1" applyBorder="1" applyAlignment="1" applyProtection="1">
      <alignment horizontal="center" vertical="center" wrapText="1"/>
    </xf>
    <xf numFmtId="165" fontId="3" fillId="0" borderId="24" xfId="0" applyNumberFormat="1" applyFont="1" applyBorder="1" applyAlignment="1" applyProtection="1">
      <alignment vertical="center" wrapText="1"/>
    </xf>
    <xf numFmtId="4" fontId="33" fillId="0" borderId="24" xfId="0" applyNumberFormat="1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5" fontId="3" fillId="34" borderId="3" xfId="0" applyNumberFormat="1" applyFont="1" applyFill="1" applyBorder="1" applyAlignment="1">
      <alignment horizontal="center" vertical="center" wrapText="1"/>
    </xf>
    <xf numFmtId="165" fontId="3" fillId="34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0" fontId="24" fillId="36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3" fillId="34" borderId="3" xfId="0" applyFont="1" applyFill="1" applyBorder="1" applyAlignment="1">
      <alignment horizontal="left" vertical="center" wrapText="1"/>
    </xf>
    <xf numFmtId="0" fontId="3" fillId="34" borderId="4" xfId="0" applyFont="1" applyFill="1" applyBorder="1" applyAlignment="1">
      <alignment horizontal="left" vertical="center" wrapText="1"/>
    </xf>
    <xf numFmtId="0" fontId="3" fillId="34" borderId="5" xfId="0" applyFont="1" applyFill="1" applyBorder="1" applyAlignment="1">
      <alignment horizontal="left" vertical="center" wrapText="1"/>
    </xf>
    <xf numFmtId="0" fontId="2" fillId="34" borderId="3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26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10" fontId="3" fillId="0" borderId="2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 wrapText="1"/>
    </xf>
    <xf numFmtId="0" fontId="30" fillId="37" borderId="4" xfId="0" applyFont="1" applyFill="1" applyBorder="1" applyAlignment="1">
      <alignment horizontal="center" vertical="center" wrapText="1"/>
    </xf>
    <xf numFmtId="0" fontId="30" fillId="37" borderId="5" xfId="0" applyFont="1" applyFill="1" applyBorder="1" applyAlignment="1">
      <alignment horizontal="center" vertical="center" wrapText="1"/>
    </xf>
    <xf numFmtId="0" fontId="31" fillId="38" borderId="3" xfId="0" applyFont="1" applyFill="1" applyBorder="1" applyAlignment="1">
      <alignment horizontal="center" vertical="center" wrapText="1"/>
    </xf>
    <xf numFmtId="0" fontId="31" fillId="38" borderId="4" xfId="0" applyFont="1" applyFill="1" applyBorder="1" applyAlignment="1">
      <alignment horizontal="center" vertical="center" wrapText="1"/>
    </xf>
    <xf numFmtId="0" fontId="31" fillId="38" borderId="5" xfId="0" applyFont="1" applyFill="1" applyBorder="1" applyAlignment="1">
      <alignment horizontal="center" vertical="center" wrapText="1"/>
    </xf>
  </cellXfs>
  <cellStyles count="51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Neutra" xfId="11" builtinId="28" customBuiltin="1"/>
    <cellStyle name="Normal" xfId="0" builtinId="0"/>
    <cellStyle name="Normal 2" xfId="46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1"/>
    <cellStyle name="Vírgula 3" xfId="3"/>
    <cellStyle name="Vírgula 3 2" xfId="49"/>
    <cellStyle name="Vírgula 4" xfId="2"/>
    <cellStyle name="Vírgula 4 2" xfId="48"/>
    <cellStyle name="Vírgula 5" xfId="45"/>
    <cellStyle name="Vírgula 5 2" xfId="50"/>
    <cellStyle name="Vírgula 6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170"/>
  <sheetViews>
    <sheetView showGridLines="0" view="pageBreakPreview" topLeftCell="A118" zoomScale="80" zoomScaleNormal="110" zoomScaleSheetLayoutView="80" workbookViewId="0">
      <selection activeCell="G139" sqref="G139:G140 E143:G149"/>
    </sheetView>
  </sheetViews>
  <sheetFormatPr defaultRowHeight="15.75" x14ac:dyDescent="0.25"/>
  <cols>
    <col min="1" max="1" width="14.5703125" style="7" customWidth="1"/>
    <col min="2" max="2" width="59.42578125" style="7" bestFit="1" customWidth="1"/>
    <col min="3" max="3" width="12" style="24" customWidth="1"/>
    <col min="4" max="4" width="9.85546875" style="24" bestFit="1" customWidth="1"/>
    <col min="5" max="5" width="11" style="24" bestFit="1" customWidth="1"/>
    <col min="6" max="6" width="13.5703125" style="24" bestFit="1" customWidth="1"/>
    <col min="7" max="7" width="16.42578125" style="7" bestFit="1" customWidth="1"/>
    <col min="8" max="8" width="16.7109375" style="24" bestFit="1" customWidth="1"/>
    <col min="9" max="9" width="14.5703125" style="7" customWidth="1"/>
    <col min="10" max="10" width="49.140625" style="7" customWidth="1"/>
    <col min="11" max="16384" width="9.140625" style="7"/>
  </cols>
  <sheetData>
    <row r="1" spans="1:9" ht="22.5" x14ac:dyDescent="0.35">
      <c r="A1" s="134" t="s">
        <v>73</v>
      </c>
      <c r="B1" s="134"/>
      <c r="C1" s="134"/>
      <c r="D1" s="134"/>
      <c r="E1" s="134"/>
      <c r="F1" s="134"/>
      <c r="G1" s="134"/>
      <c r="H1" s="134"/>
      <c r="I1" s="134"/>
    </row>
    <row r="2" spans="1:9" ht="22.5" x14ac:dyDescent="0.35">
      <c r="A2" s="134" t="s">
        <v>76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25">
      <c r="A3" s="135" t="s">
        <v>74</v>
      </c>
      <c r="B3" s="135"/>
      <c r="C3" s="135"/>
      <c r="D3" s="135"/>
      <c r="E3" s="135"/>
      <c r="F3" s="135"/>
      <c r="G3" s="135"/>
      <c r="H3" s="135"/>
      <c r="I3" s="135"/>
    </row>
    <row r="4" spans="1:9" ht="16.5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24.95" customHeight="1" thickBot="1" x14ac:dyDescent="0.3">
      <c r="A5" s="137" t="s">
        <v>160</v>
      </c>
      <c r="B5" s="138"/>
      <c r="C5" s="36"/>
      <c r="D5" s="36"/>
      <c r="E5" s="36"/>
      <c r="F5" s="36"/>
      <c r="G5" s="10"/>
      <c r="H5" s="10"/>
    </row>
    <row r="6" spans="1:9" ht="24.95" customHeight="1" thickBot="1" x14ac:dyDescent="0.3">
      <c r="A6" s="137" t="s">
        <v>159</v>
      </c>
      <c r="B6" s="138"/>
      <c r="C6" s="36"/>
      <c r="D6" s="36"/>
      <c r="E6" s="36"/>
      <c r="F6" s="36"/>
    </row>
    <row r="8" spans="1:9" x14ac:dyDescent="0.25">
      <c r="A8" s="139" t="s">
        <v>82</v>
      </c>
      <c r="B8" s="139"/>
      <c r="C8" s="139"/>
      <c r="D8" s="139"/>
      <c r="E8" s="139"/>
      <c r="F8" s="139"/>
      <c r="G8" s="139"/>
      <c r="H8" s="139"/>
      <c r="I8" s="139"/>
    </row>
    <row r="9" spans="1:9" ht="15.75" customHeight="1" x14ac:dyDescent="0.25"/>
    <row r="10" spans="1:9" x14ac:dyDescent="0.25">
      <c r="A10" s="136" t="s">
        <v>77</v>
      </c>
      <c r="B10" s="136"/>
      <c r="C10" s="136"/>
      <c r="D10" s="136"/>
      <c r="E10" s="136"/>
      <c r="F10" s="136"/>
      <c r="G10" s="136"/>
      <c r="H10" s="136"/>
      <c r="I10" s="136"/>
    </row>
    <row r="11" spans="1:9" ht="16.5" thickBot="1" x14ac:dyDescent="0.3"/>
    <row r="12" spans="1:9" ht="16.5" thickBot="1" x14ac:dyDescent="0.3">
      <c r="A12" s="12" t="s">
        <v>15</v>
      </c>
      <c r="B12" s="11" t="s">
        <v>78</v>
      </c>
      <c r="C12" s="128"/>
      <c r="D12" s="129"/>
      <c r="E12" s="129"/>
      <c r="F12" s="130"/>
      <c r="G12" s="10"/>
      <c r="H12" s="10"/>
      <c r="I12" s="24"/>
    </row>
    <row r="13" spans="1:9" ht="16.5" thickBot="1" x14ac:dyDescent="0.3">
      <c r="A13" s="12" t="s">
        <v>17</v>
      </c>
      <c r="B13" s="11" t="s">
        <v>79</v>
      </c>
      <c r="C13" s="128"/>
      <c r="D13" s="129"/>
      <c r="E13" s="129"/>
      <c r="F13" s="130"/>
      <c r="G13" s="10"/>
      <c r="H13" s="10"/>
      <c r="I13" s="24"/>
    </row>
    <row r="14" spans="1:9" ht="16.5" thickBot="1" x14ac:dyDescent="0.3">
      <c r="A14" s="12" t="s">
        <v>18</v>
      </c>
      <c r="B14" s="11" t="s">
        <v>80</v>
      </c>
      <c r="C14" s="128"/>
      <c r="D14" s="129"/>
      <c r="E14" s="129"/>
      <c r="F14" s="130"/>
      <c r="G14" s="24"/>
      <c r="I14" s="24"/>
    </row>
    <row r="15" spans="1:9" s="24" customFormat="1" ht="16.5" thickBot="1" x14ac:dyDescent="0.3">
      <c r="A15" s="12" t="s">
        <v>19</v>
      </c>
      <c r="B15" s="11" t="s">
        <v>91</v>
      </c>
      <c r="C15" s="65"/>
      <c r="D15" s="66"/>
      <c r="E15" s="66"/>
      <c r="F15" s="67"/>
    </row>
    <row r="16" spans="1:9" ht="16.5" thickBot="1" x14ac:dyDescent="0.3">
      <c r="A16" s="12" t="s">
        <v>20</v>
      </c>
      <c r="B16" s="11" t="s">
        <v>81</v>
      </c>
      <c r="C16" s="128"/>
      <c r="D16" s="129"/>
      <c r="E16" s="129"/>
      <c r="F16" s="130"/>
      <c r="G16" s="24"/>
      <c r="I16" s="24"/>
    </row>
    <row r="18" spans="1:10" s="17" customFormat="1" x14ac:dyDescent="0.25">
      <c r="A18" s="13"/>
      <c r="B18" s="15"/>
      <c r="C18" s="15"/>
      <c r="D18" s="15"/>
      <c r="E18" s="15"/>
      <c r="F18" s="15"/>
      <c r="G18" s="16"/>
      <c r="H18" s="16"/>
      <c r="I18" s="16"/>
    </row>
    <row r="19" spans="1:10" s="17" customFormat="1" x14ac:dyDescent="0.25">
      <c r="A19" s="131" t="s">
        <v>12</v>
      </c>
      <c r="B19" s="131"/>
      <c r="C19" s="131"/>
      <c r="D19" s="131"/>
      <c r="E19" s="131"/>
      <c r="F19" s="131"/>
      <c r="G19" s="131"/>
      <c r="H19" s="131"/>
      <c r="I19" s="131"/>
    </row>
    <row r="20" spans="1:10" s="17" customFormat="1" ht="16.5" thickBot="1" x14ac:dyDescent="0.3">
      <c r="A20" s="18"/>
      <c r="B20" s="18"/>
      <c r="C20" s="18"/>
      <c r="D20" s="18"/>
      <c r="E20" s="18"/>
      <c r="F20" s="18"/>
      <c r="G20" s="18"/>
      <c r="H20" s="18"/>
      <c r="I20" s="16"/>
    </row>
    <row r="21" spans="1:10" s="17" customFormat="1" ht="16.5" thickBot="1" x14ac:dyDescent="0.3">
      <c r="A21" s="19">
        <v>1</v>
      </c>
      <c r="B21" s="20" t="s">
        <v>13</v>
      </c>
      <c r="C21" s="83" t="s">
        <v>14</v>
      </c>
      <c r="D21" s="84"/>
      <c r="E21" s="84"/>
      <c r="F21" s="85"/>
      <c r="G21" s="10"/>
      <c r="H21" s="10"/>
      <c r="I21" s="24"/>
    </row>
    <row r="22" spans="1:10" s="17" customFormat="1" ht="16.5" thickBot="1" x14ac:dyDescent="0.3">
      <c r="A22" s="21" t="s">
        <v>15</v>
      </c>
      <c r="B22" s="22" t="s">
        <v>16</v>
      </c>
      <c r="C22" s="86">
        <v>1462.87</v>
      </c>
      <c r="D22" s="122"/>
      <c r="E22" s="122"/>
      <c r="F22" s="113"/>
      <c r="G22" s="10"/>
      <c r="H22" s="10"/>
      <c r="I22" s="24"/>
    </row>
    <row r="23" spans="1:10" s="24" customFormat="1" ht="16.5" thickBot="1" x14ac:dyDescent="0.3">
      <c r="A23" s="21" t="s">
        <v>17</v>
      </c>
      <c r="B23" s="33" t="s">
        <v>90</v>
      </c>
      <c r="C23" s="86">
        <f>($C$22/220)*1.5*3.5</f>
        <v>34.909397727272726</v>
      </c>
      <c r="D23" s="122"/>
      <c r="E23" s="122"/>
      <c r="F23" s="113"/>
      <c r="J23" s="42"/>
    </row>
    <row r="24" spans="1:10" s="17" customFormat="1" ht="16.5" thickBot="1" x14ac:dyDescent="0.3">
      <c r="A24" s="21" t="s">
        <v>18</v>
      </c>
      <c r="B24" s="27" t="s">
        <v>23</v>
      </c>
      <c r="C24" s="123"/>
      <c r="D24" s="124"/>
      <c r="E24" s="124"/>
      <c r="F24" s="125"/>
      <c r="G24" s="24"/>
      <c r="H24" s="24"/>
      <c r="I24" s="24"/>
    </row>
    <row r="25" spans="1:10" ht="16.5" customHeight="1" thickBot="1" x14ac:dyDescent="0.3">
      <c r="A25" s="83" t="s">
        <v>84</v>
      </c>
      <c r="B25" s="84"/>
      <c r="C25" s="126">
        <f>SUM($C$22:$F$24)</f>
        <v>1497.7793977272727</v>
      </c>
      <c r="D25" s="84"/>
      <c r="E25" s="84"/>
      <c r="F25" s="85"/>
      <c r="G25" s="24"/>
      <c r="I25" s="24"/>
    </row>
    <row r="27" spans="1:10" x14ac:dyDescent="0.25">
      <c r="A27" s="82" t="s">
        <v>24</v>
      </c>
      <c r="B27" s="82"/>
      <c r="C27" s="82"/>
      <c r="D27" s="82"/>
      <c r="E27" s="82"/>
      <c r="F27" s="82"/>
      <c r="G27" s="82"/>
      <c r="H27" s="82"/>
      <c r="I27" s="82"/>
    </row>
    <row r="28" spans="1:10" x14ac:dyDescent="0.25">
      <c r="A28" s="1"/>
    </row>
    <row r="29" spans="1:10" x14ac:dyDescent="0.25">
      <c r="A29" s="114" t="s">
        <v>25</v>
      </c>
      <c r="B29" s="114"/>
      <c r="C29" s="114"/>
      <c r="D29" s="114"/>
      <c r="E29" s="114"/>
      <c r="F29" s="114"/>
      <c r="G29" s="114"/>
      <c r="H29" s="114"/>
      <c r="I29" s="114"/>
    </row>
    <row r="30" spans="1:10" ht="16.5" thickBot="1" x14ac:dyDescent="0.3">
      <c r="G30" s="24"/>
    </row>
    <row r="31" spans="1:10" ht="16.5" thickBot="1" x14ac:dyDescent="0.3">
      <c r="A31" s="2" t="s">
        <v>26</v>
      </c>
      <c r="B31" s="3" t="s">
        <v>27</v>
      </c>
      <c r="C31" s="83" t="s">
        <v>83</v>
      </c>
      <c r="D31" s="85"/>
      <c r="E31" s="83" t="s">
        <v>14</v>
      </c>
      <c r="F31" s="85"/>
      <c r="G31" s="24"/>
      <c r="I31" s="24"/>
      <c r="J31" s="24"/>
    </row>
    <row r="32" spans="1:10" ht="16.5" thickBot="1" x14ac:dyDescent="0.3">
      <c r="A32" s="4" t="s">
        <v>15</v>
      </c>
      <c r="B32" s="5" t="s">
        <v>28</v>
      </c>
      <c r="C32" s="132">
        <f>1/12</f>
        <v>8.3333333333333329E-2</v>
      </c>
      <c r="D32" s="133"/>
      <c r="E32" s="86">
        <f>$C$32*$C$25</f>
        <v>124.81494981060605</v>
      </c>
      <c r="F32" s="88"/>
      <c r="G32" s="24"/>
      <c r="I32" s="24"/>
      <c r="J32" s="24"/>
    </row>
    <row r="33" spans="1:10" ht="16.5" thickBot="1" x14ac:dyDescent="0.3">
      <c r="A33" s="4" t="s">
        <v>17</v>
      </c>
      <c r="B33" s="5" t="s">
        <v>29</v>
      </c>
      <c r="C33" s="132">
        <f>1/3*$C$32</f>
        <v>2.7777777777777776E-2</v>
      </c>
      <c r="D33" s="133"/>
      <c r="E33" s="86">
        <f>$C$33*$C$25</f>
        <v>41.60498327020202</v>
      </c>
      <c r="F33" s="88"/>
      <c r="G33" s="24"/>
      <c r="I33" s="24"/>
      <c r="J33" s="24"/>
    </row>
    <row r="34" spans="1:10" ht="16.5" thickBot="1" x14ac:dyDescent="0.3">
      <c r="A34" s="14" t="s">
        <v>18</v>
      </c>
      <c r="B34" s="26" t="s">
        <v>85</v>
      </c>
      <c r="C34" s="132">
        <f>SUM($C$32:$D$33)</f>
        <v>0.1111111111111111</v>
      </c>
      <c r="D34" s="133"/>
      <c r="E34" s="86">
        <f>SUM($E$32:$F$33)</f>
        <v>166.41993308080808</v>
      </c>
      <c r="F34" s="88"/>
      <c r="G34" s="24"/>
      <c r="I34" s="24"/>
      <c r="J34" s="24"/>
    </row>
    <row r="35" spans="1:10" s="24" customFormat="1" ht="16.5" thickBot="1" x14ac:dyDescent="0.3">
      <c r="A35" s="21" t="s">
        <v>19</v>
      </c>
      <c r="B35" s="22" t="s">
        <v>129</v>
      </c>
      <c r="C35" s="132">
        <f>$G$49*$C$34</f>
        <v>4.0888888888888891E-2</v>
      </c>
      <c r="D35" s="133"/>
      <c r="E35" s="86">
        <f>$C$35*$C$25</f>
        <v>61.242535373737375</v>
      </c>
      <c r="F35" s="88"/>
      <c r="G35" s="34"/>
    </row>
    <row r="36" spans="1:10" s="24" customFormat="1" ht="16.5" thickBot="1" x14ac:dyDescent="0.3">
      <c r="A36" s="83" t="s">
        <v>86</v>
      </c>
      <c r="B36" s="85"/>
      <c r="C36" s="132"/>
      <c r="D36" s="133"/>
      <c r="E36" s="86">
        <f>SUM($E$34:$F$35)</f>
        <v>227.66246845454546</v>
      </c>
      <c r="F36" s="88"/>
      <c r="G36" s="34"/>
    </row>
    <row r="37" spans="1:10" x14ac:dyDescent="0.25">
      <c r="J37" s="24"/>
    </row>
    <row r="38" spans="1:10" ht="32.25" customHeight="1" x14ac:dyDescent="0.25">
      <c r="A38" s="127" t="s">
        <v>30</v>
      </c>
      <c r="B38" s="127"/>
      <c r="C38" s="127"/>
      <c r="D38" s="127"/>
      <c r="E38" s="127"/>
      <c r="F38" s="127"/>
      <c r="G38" s="127"/>
      <c r="H38" s="127"/>
      <c r="I38" s="127"/>
      <c r="J38" s="24"/>
    </row>
    <row r="39" spans="1:10" ht="16.5" thickBot="1" x14ac:dyDescent="0.3">
      <c r="J39" s="24"/>
    </row>
    <row r="40" spans="1:10" ht="16.5" thickBot="1" x14ac:dyDescent="0.3">
      <c r="A40" s="2" t="s">
        <v>31</v>
      </c>
      <c r="B40" s="83" t="s">
        <v>32</v>
      </c>
      <c r="C40" s="84"/>
      <c r="D40" s="84"/>
      <c r="E40" s="84"/>
      <c r="F40" s="85"/>
      <c r="G40" s="20" t="s">
        <v>33</v>
      </c>
      <c r="H40" s="83" t="s">
        <v>14</v>
      </c>
      <c r="I40" s="85"/>
    </row>
    <row r="41" spans="1:10" ht="16.5" thickBot="1" x14ac:dyDescent="0.3">
      <c r="A41" s="4" t="s">
        <v>15</v>
      </c>
      <c r="B41" s="89" t="s">
        <v>34</v>
      </c>
      <c r="C41" s="90"/>
      <c r="D41" s="90"/>
      <c r="E41" s="90"/>
      <c r="F41" s="91"/>
      <c r="G41" s="29">
        <v>0.2</v>
      </c>
      <c r="H41" s="86">
        <f>G41*$C$25</f>
        <v>299.55587954545456</v>
      </c>
      <c r="I41" s="113"/>
      <c r="J41" s="34"/>
    </row>
    <row r="42" spans="1:10" ht="16.5" thickBot="1" x14ac:dyDescent="0.3">
      <c r="A42" s="4" t="s">
        <v>17</v>
      </c>
      <c r="B42" s="89" t="s">
        <v>35</v>
      </c>
      <c r="C42" s="90"/>
      <c r="D42" s="90"/>
      <c r="E42" s="90"/>
      <c r="F42" s="91"/>
      <c r="G42" s="29">
        <v>2.5000000000000001E-2</v>
      </c>
      <c r="H42" s="86">
        <f t="shared" ref="H42:H48" si="0">G42*$C$25</f>
        <v>37.44448494318182</v>
      </c>
      <c r="I42" s="113"/>
      <c r="J42" s="34"/>
    </row>
    <row r="43" spans="1:10" ht="16.5" customHeight="1" thickBot="1" x14ac:dyDescent="0.3">
      <c r="A43" s="21" t="s">
        <v>18</v>
      </c>
      <c r="B43" s="28" t="s">
        <v>87</v>
      </c>
      <c r="C43" s="39" t="s">
        <v>88</v>
      </c>
      <c r="D43" s="74">
        <v>0.03</v>
      </c>
      <c r="E43" s="39" t="s">
        <v>89</v>
      </c>
      <c r="F43" s="69">
        <v>1</v>
      </c>
      <c r="G43" s="29">
        <f>D43*F43</f>
        <v>0.03</v>
      </c>
      <c r="H43" s="86">
        <f t="shared" si="0"/>
        <v>44.933381931818175</v>
      </c>
      <c r="I43" s="113"/>
      <c r="J43" s="38"/>
    </row>
    <row r="44" spans="1:10" ht="16.5" thickBot="1" x14ac:dyDescent="0.3">
      <c r="A44" s="4" t="s">
        <v>19</v>
      </c>
      <c r="B44" s="89" t="s">
        <v>36</v>
      </c>
      <c r="C44" s="90"/>
      <c r="D44" s="90"/>
      <c r="E44" s="90"/>
      <c r="F44" s="91"/>
      <c r="G44" s="68">
        <v>1.4999999999999999E-2</v>
      </c>
      <c r="H44" s="86">
        <f t="shared" si="0"/>
        <v>22.466690965909088</v>
      </c>
      <c r="I44" s="113"/>
      <c r="J44" s="34"/>
    </row>
    <row r="45" spans="1:10" ht="16.5" thickBot="1" x14ac:dyDescent="0.3">
      <c r="A45" s="4" t="s">
        <v>20</v>
      </c>
      <c r="B45" s="89" t="s">
        <v>37</v>
      </c>
      <c r="C45" s="90"/>
      <c r="D45" s="90"/>
      <c r="E45" s="90"/>
      <c r="F45" s="91"/>
      <c r="G45" s="68">
        <v>0.01</v>
      </c>
      <c r="H45" s="86">
        <f t="shared" si="0"/>
        <v>14.977793977272727</v>
      </c>
      <c r="I45" s="113"/>
      <c r="J45" s="34"/>
    </row>
    <row r="46" spans="1:10" ht="16.5" thickBot="1" x14ac:dyDescent="0.3">
      <c r="A46" s="4" t="s">
        <v>21</v>
      </c>
      <c r="B46" s="89" t="s">
        <v>2</v>
      </c>
      <c r="C46" s="90"/>
      <c r="D46" s="90"/>
      <c r="E46" s="90"/>
      <c r="F46" s="91"/>
      <c r="G46" s="68">
        <v>6.0000000000000001E-3</v>
      </c>
      <c r="H46" s="86">
        <f t="shared" si="0"/>
        <v>8.9866763863636354</v>
      </c>
      <c r="I46" s="113"/>
      <c r="J46" s="35"/>
    </row>
    <row r="47" spans="1:10" ht="16.5" thickBot="1" x14ac:dyDescent="0.3">
      <c r="A47" s="4" t="s">
        <v>22</v>
      </c>
      <c r="B47" s="89" t="s">
        <v>3</v>
      </c>
      <c r="C47" s="90"/>
      <c r="D47" s="90"/>
      <c r="E47" s="90"/>
      <c r="F47" s="91"/>
      <c r="G47" s="68">
        <v>2E-3</v>
      </c>
      <c r="H47" s="86">
        <f t="shared" si="0"/>
        <v>2.9955587954545453</v>
      </c>
      <c r="I47" s="113"/>
    </row>
    <row r="48" spans="1:10" ht="16.5" thickBot="1" x14ac:dyDescent="0.3">
      <c r="A48" s="4" t="s">
        <v>38</v>
      </c>
      <c r="B48" s="89" t="s">
        <v>4</v>
      </c>
      <c r="C48" s="90"/>
      <c r="D48" s="90"/>
      <c r="E48" s="90"/>
      <c r="F48" s="91"/>
      <c r="G48" s="29">
        <v>0.08</v>
      </c>
      <c r="H48" s="86">
        <f t="shared" si="0"/>
        <v>119.82235181818182</v>
      </c>
      <c r="I48" s="113"/>
    </row>
    <row r="49" spans="1:18" ht="16.5" thickBot="1" x14ac:dyDescent="0.3">
      <c r="A49" s="83" t="s">
        <v>0</v>
      </c>
      <c r="B49" s="84"/>
      <c r="C49" s="84"/>
      <c r="D49" s="84"/>
      <c r="E49" s="84"/>
      <c r="F49" s="85"/>
      <c r="G49" s="29">
        <f>SUM(G41:G48)</f>
        <v>0.36800000000000005</v>
      </c>
      <c r="H49" s="86">
        <f>SUM(H41:H48)</f>
        <v>551.18281836363633</v>
      </c>
      <c r="I49" s="113"/>
    </row>
    <row r="50" spans="1:18" s="24" customFormat="1" ht="16.5" thickBot="1" x14ac:dyDescent="0.3"/>
    <row r="51" spans="1:18" ht="16.5" thickBot="1" x14ac:dyDescent="0.3">
      <c r="A51" s="107" t="s">
        <v>94</v>
      </c>
      <c r="B51" s="108"/>
      <c r="C51" s="108"/>
      <c r="D51" s="108"/>
      <c r="E51" s="108"/>
      <c r="F51" s="109"/>
      <c r="G51" s="41">
        <f>G49</f>
        <v>0.36800000000000005</v>
      </c>
      <c r="H51" s="117">
        <f>G51*C25</f>
        <v>551.18281836363644</v>
      </c>
      <c r="I51" s="118"/>
    </row>
    <row r="52" spans="1:18" s="24" customFormat="1" x14ac:dyDescent="0.25"/>
    <row r="53" spans="1:18" x14ac:dyDescent="0.25">
      <c r="A53" s="114" t="s">
        <v>40</v>
      </c>
      <c r="B53" s="114"/>
      <c r="C53" s="114"/>
      <c r="D53" s="114"/>
      <c r="E53" s="114"/>
      <c r="F53" s="114"/>
      <c r="G53" s="114"/>
      <c r="H53" s="114"/>
      <c r="I53" s="114"/>
      <c r="K53" s="24"/>
      <c r="L53" s="24"/>
      <c r="M53" s="24"/>
      <c r="N53" s="24"/>
      <c r="O53" s="24"/>
      <c r="P53" s="24"/>
      <c r="Q53" s="24"/>
      <c r="R53" s="24"/>
    </row>
    <row r="54" spans="1:18" ht="16.5" thickBot="1" x14ac:dyDescent="0.3">
      <c r="K54" s="24"/>
      <c r="L54" s="24"/>
      <c r="M54" s="24"/>
      <c r="N54" s="24"/>
      <c r="O54" s="24"/>
      <c r="P54" s="24"/>
      <c r="Q54" s="24"/>
      <c r="R54" s="24"/>
    </row>
    <row r="55" spans="1:18" ht="16.5" thickBot="1" x14ac:dyDescent="0.3">
      <c r="A55" s="2" t="s">
        <v>41</v>
      </c>
      <c r="B55" s="83" t="s">
        <v>42</v>
      </c>
      <c r="C55" s="84"/>
      <c r="D55" s="84"/>
      <c r="E55" s="84"/>
      <c r="F55" s="84"/>
      <c r="G55" s="85"/>
      <c r="H55" s="115" t="s">
        <v>14</v>
      </c>
      <c r="I55" s="116"/>
      <c r="K55" s="24"/>
      <c r="L55" s="24"/>
      <c r="M55" s="24"/>
      <c r="N55" s="24"/>
      <c r="O55" s="24"/>
      <c r="P55" s="24"/>
      <c r="Q55" s="24"/>
      <c r="R55" s="24"/>
    </row>
    <row r="56" spans="1:18" ht="32.25" thickBot="1" x14ac:dyDescent="0.3">
      <c r="A56" s="119" t="s">
        <v>15</v>
      </c>
      <c r="B56" s="5" t="s">
        <v>43</v>
      </c>
      <c r="C56" s="40" t="s">
        <v>93</v>
      </c>
      <c r="D56" s="70">
        <v>6.96</v>
      </c>
      <c r="E56" s="106" t="s">
        <v>92</v>
      </c>
      <c r="F56" s="88"/>
      <c r="G56" s="71">
        <v>2</v>
      </c>
      <c r="H56" s="86">
        <f>$D$56*$G$56*22</f>
        <v>306.24</v>
      </c>
      <c r="I56" s="88"/>
      <c r="J56" s="31"/>
      <c r="K56" s="24"/>
      <c r="L56" s="24"/>
      <c r="M56" s="24"/>
      <c r="N56" s="24"/>
      <c r="O56" s="24"/>
      <c r="P56" s="24"/>
      <c r="Q56" s="24"/>
      <c r="R56" s="24"/>
    </row>
    <row r="57" spans="1:18" s="24" customFormat="1" ht="16.5" thickBot="1" x14ac:dyDescent="0.3">
      <c r="A57" s="120"/>
      <c r="B57" s="89" t="s">
        <v>128</v>
      </c>
      <c r="C57" s="90"/>
      <c r="D57" s="90"/>
      <c r="E57" s="90"/>
      <c r="F57" s="90"/>
      <c r="G57" s="91"/>
      <c r="H57" s="86">
        <f>0.06*C22</f>
        <v>87.772199999999984</v>
      </c>
      <c r="I57" s="113"/>
      <c r="J57" s="31"/>
    </row>
    <row r="58" spans="1:18" s="24" customFormat="1" ht="16.5" thickBot="1" x14ac:dyDescent="0.3">
      <c r="A58" s="121"/>
      <c r="B58" s="89" t="s">
        <v>0</v>
      </c>
      <c r="C58" s="90"/>
      <c r="D58" s="90"/>
      <c r="E58" s="90"/>
      <c r="F58" s="90"/>
      <c r="G58" s="91"/>
      <c r="H58" s="86">
        <f>$H$56-$H$57</f>
        <v>218.46780000000001</v>
      </c>
      <c r="I58" s="113"/>
      <c r="J58" s="31"/>
    </row>
    <row r="59" spans="1:18" ht="73.5" customHeight="1" thickBot="1" x14ac:dyDescent="0.3">
      <c r="A59" s="4" t="s">
        <v>17</v>
      </c>
      <c r="B59" s="5" t="s">
        <v>44</v>
      </c>
      <c r="C59" s="23" t="s">
        <v>5</v>
      </c>
      <c r="D59" s="75">
        <v>20</v>
      </c>
      <c r="E59" s="106" t="s">
        <v>95</v>
      </c>
      <c r="F59" s="88"/>
      <c r="G59" s="68">
        <v>0.12</v>
      </c>
      <c r="H59" s="86">
        <f>$D$59*22*(1-G59)</f>
        <v>387.2</v>
      </c>
      <c r="I59" s="88"/>
      <c r="J59" s="30"/>
      <c r="K59" s="24"/>
      <c r="L59" s="24"/>
      <c r="M59" s="24"/>
      <c r="N59" s="24"/>
      <c r="O59" s="24"/>
      <c r="P59" s="24"/>
      <c r="Q59" s="24"/>
      <c r="R59" s="24"/>
    </row>
    <row r="60" spans="1:18" s="24" customFormat="1" ht="16.5" thickBot="1" x14ac:dyDescent="0.3">
      <c r="A60" s="49" t="s">
        <v>18</v>
      </c>
      <c r="B60" s="89" t="s">
        <v>134</v>
      </c>
      <c r="C60" s="90"/>
      <c r="D60" s="90"/>
      <c r="E60" s="90"/>
      <c r="F60" s="90"/>
      <c r="G60" s="91"/>
      <c r="H60" s="80"/>
      <c r="I60" s="81"/>
    </row>
    <row r="61" spans="1:18" s="24" customFormat="1" ht="16.5" thickBot="1" x14ac:dyDescent="0.3">
      <c r="A61" s="49" t="s">
        <v>19</v>
      </c>
      <c r="B61" s="89" t="s">
        <v>135</v>
      </c>
      <c r="C61" s="90"/>
      <c r="D61" s="90"/>
      <c r="E61" s="90"/>
      <c r="F61" s="90"/>
      <c r="G61" s="91"/>
      <c r="H61" s="80"/>
      <c r="I61" s="81"/>
    </row>
    <row r="62" spans="1:18" s="24" customFormat="1" ht="16.5" thickBot="1" x14ac:dyDescent="0.3">
      <c r="A62" s="49" t="s">
        <v>20</v>
      </c>
      <c r="B62" s="89" t="s">
        <v>132</v>
      </c>
      <c r="C62" s="90"/>
      <c r="D62" s="90"/>
      <c r="E62" s="90"/>
      <c r="F62" s="90"/>
      <c r="G62" s="91"/>
      <c r="H62" s="80"/>
      <c r="I62" s="81"/>
    </row>
    <row r="63" spans="1:18" s="24" customFormat="1" ht="16.5" thickBot="1" x14ac:dyDescent="0.3">
      <c r="A63" s="30" t="s">
        <v>21</v>
      </c>
      <c r="B63" s="89" t="s">
        <v>133</v>
      </c>
      <c r="C63" s="90"/>
      <c r="D63" s="90"/>
      <c r="E63" s="90"/>
      <c r="F63" s="90"/>
      <c r="G63" s="91"/>
      <c r="H63" s="80"/>
      <c r="I63" s="81"/>
    </row>
    <row r="64" spans="1:18" ht="16.5" thickBot="1" x14ac:dyDescent="0.3">
      <c r="A64" s="30" t="s">
        <v>22</v>
      </c>
      <c r="B64" s="89" t="s">
        <v>23</v>
      </c>
      <c r="C64" s="90"/>
      <c r="D64" s="90"/>
      <c r="E64" s="90"/>
      <c r="F64" s="90"/>
      <c r="G64" s="91"/>
      <c r="H64" s="80"/>
      <c r="I64" s="81"/>
      <c r="K64" s="24"/>
      <c r="L64" s="24"/>
      <c r="M64" s="24"/>
      <c r="N64" s="24"/>
      <c r="O64" s="24"/>
      <c r="P64" s="24"/>
      <c r="Q64" s="24"/>
      <c r="R64" s="24"/>
    </row>
    <row r="65" spans="1:9" ht="16.5" thickBot="1" x14ac:dyDescent="0.3">
      <c r="A65" s="83" t="s">
        <v>0</v>
      </c>
      <c r="B65" s="84"/>
      <c r="C65" s="84"/>
      <c r="D65" s="84"/>
      <c r="E65" s="84"/>
      <c r="F65" s="84"/>
      <c r="G65" s="85"/>
      <c r="H65" s="86">
        <f>SUM(H58:I64)</f>
        <v>605.66779999999994</v>
      </c>
      <c r="I65" s="113"/>
    </row>
    <row r="68" spans="1:9" x14ac:dyDescent="0.25">
      <c r="A68" s="114" t="s">
        <v>45</v>
      </c>
      <c r="B68" s="114"/>
      <c r="C68" s="114"/>
      <c r="D68" s="114"/>
      <c r="E68" s="114"/>
      <c r="F68" s="114"/>
      <c r="G68" s="114"/>
      <c r="H68" s="114"/>
      <c r="I68" s="114"/>
    </row>
    <row r="69" spans="1:9" ht="16.5" thickBot="1" x14ac:dyDescent="0.3"/>
    <row r="70" spans="1:9" ht="16.5" thickBot="1" x14ac:dyDescent="0.3">
      <c r="A70" s="2">
        <v>2</v>
      </c>
      <c r="B70" s="83" t="s">
        <v>46</v>
      </c>
      <c r="C70" s="84"/>
      <c r="D70" s="84"/>
      <c r="E70" s="84"/>
      <c r="F70" s="84"/>
      <c r="G70" s="85"/>
      <c r="H70" s="115" t="s">
        <v>14</v>
      </c>
      <c r="I70" s="116"/>
    </row>
    <row r="71" spans="1:9" ht="16.5" thickBot="1" x14ac:dyDescent="0.3">
      <c r="A71" s="4" t="s">
        <v>26</v>
      </c>
      <c r="B71" s="89" t="s">
        <v>96</v>
      </c>
      <c r="C71" s="90"/>
      <c r="D71" s="90"/>
      <c r="E71" s="90"/>
      <c r="F71" s="90"/>
      <c r="G71" s="91"/>
      <c r="H71" s="86">
        <f>$E$36</f>
        <v>227.66246845454546</v>
      </c>
      <c r="I71" s="88"/>
    </row>
    <row r="72" spans="1:9" ht="16.5" thickBot="1" x14ac:dyDescent="0.3">
      <c r="A72" s="4" t="s">
        <v>31</v>
      </c>
      <c r="B72" s="89" t="s">
        <v>97</v>
      </c>
      <c r="C72" s="90"/>
      <c r="D72" s="90"/>
      <c r="E72" s="90"/>
      <c r="F72" s="90"/>
      <c r="G72" s="91"/>
      <c r="H72" s="86">
        <f>$H$51</f>
        <v>551.18281836363644</v>
      </c>
      <c r="I72" s="88"/>
    </row>
    <row r="73" spans="1:9" ht="16.5" thickBot="1" x14ac:dyDescent="0.3">
      <c r="A73" s="4" t="s">
        <v>41</v>
      </c>
      <c r="B73" s="89" t="s">
        <v>42</v>
      </c>
      <c r="C73" s="90"/>
      <c r="D73" s="90"/>
      <c r="E73" s="90"/>
      <c r="F73" s="90"/>
      <c r="G73" s="91"/>
      <c r="H73" s="86">
        <f>$H$65</f>
        <v>605.66779999999994</v>
      </c>
      <c r="I73" s="88"/>
    </row>
    <row r="74" spans="1:9" ht="16.5" thickBot="1" x14ac:dyDescent="0.3">
      <c r="A74" s="83" t="s">
        <v>0</v>
      </c>
      <c r="B74" s="84"/>
      <c r="C74" s="84"/>
      <c r="D74" s="84"/>
      <c r="E74" s="84"/>
      <c r="F74" s="84"/>
      <c r="G74" s="85"/>
      <c r="H74" s="86">
        <f>SUM($H$71:$I$73)</f>
        <v>1384.5130868181818</v>
      </c>
      <c r="I74" s="88"/>
    </row>
    <row r="76" spans="1:9" x14ac:dyDescent="0.25">
      <c r="A76" s="82" t="s">
        <v>47</v>
      </c>
      <c r="B76" s="82"/>
      <c r="C76" s="82"/>
      <c r="D76" s="82"/>
      <c r="E76" s="82"/>
      <c r="F76" s="82"/>
      <c r="G76" s="82"/>
      <c r="H76" s="82"/>
      <c r="I76" s="82"/>
    </row>
    <row r="77" spans="1:9" ht="16.5" thickBot="1" x14ac:dyDescent="0.3"/>
    <row r="78" spans="1:9" ht="16.5" thickBot="1" x14ac:dyDescent="0.3">
      <c r="A78" s="2">
        <v>3</v>
      </c>
      <c r="B78" s="83" t="s">
        <v>48</v>
      </c>
      <c r="C78" s="84"/>
      <c r="D78" s="84"/>
      <c r="E78" s="84"/>
      <c r="F78" s="85"/>
      <c r="G78" s="25" t="s">
        <v>33</v>
      </c>
      <c r="H78" s="115" t="s">
        <v>14</v>
      </c>
      <c r="I78" s="116"/>
    </row>
    <row r="79" spans="1:9" ht="16.5" thickBot="1" x14ac:dyDescent="0.3">
      <c r="A79" s="32" t="s">
        <v>15</v>
      </c>
      <c r="B79" s="140" t="s">
        <v>49</v>
      </c>
      <c r="C79" s="141"/>
      <c r="D79" s="141"/>
      <c r="E79" s="141"/>
      <c r="F79" s="142"/>
      <c r="G79" s="46">
        <v>4.1999999999999997E-3</v>
      </c>
      <c r="H79" s="78">
        <f>$G$79*$C$25</f>
        <v>6.2906734704545446</v>
      </c>
      <c r="I79" s="79"/>
    </row>
    <row r="80" spans="1:9" ht="16.5" thickBot="1" x14ac:dyDescent="0.3">
      <c r="A80" s="32" t="s">
        <v>17</v>
      </c>
      <c r="B80" s="140" t="s">
        <v>50</v>
      </c>
      <c r="C80" s="141"/>
      <c r="D80" s="141"/>
      <c r="E80" s="141"/>
      <c r="F80" s="142"/>
      <c r="G80" s="47">
        <f>$G$79*$G$48</f>
        <v>3.3599999999999998E-4</v>
      </c>
      <c r="H80" s="78">
        <f>$G$80*$C$25</f>
        <v>0.50325387763636364</v>
      </c>
      <c r="I80" s="79"/>
    </row>
    <row r="81" spans="1:10" ht="16.5" thickBot="1" x14ac:dyDescent="0.3">
      <c r="A81" s="32" t="s">
        <v>18</v>
      </c>
      <c r="B81" s="140" t="s">
        <v>51</v>
      </c>
      <c r="C81" s="141"/>
      <c r="D81" s="141"/>
      <c r="E81" s="141"/>
      <c r="F81" s="142"/>
      <c r="G81" s="47">
        <v>2.5000000000000001E-2</v>
      </c>
      <c r="H81" s="78">
        <f>$G$81*$H$79</f>
        <v>0.15726683676136363</v>
      </c>
      <c r="I81" s="79"/>
    </row>
    <row r="82" spans="1:10" ht="16.5" thickBot="1" x14ac:dyDescent="0.3">
      <c r="A82" s="32" t="s">
        <v>19</v>
      </c>
      <c r="B82" s="140" t="s">
        <v>52</v>
      </c>
      <c r="C82" s="141"/>
      <c r="D82" s="141"/>
      <c r="E82" s="141"/>
      <c r="F82" s="142"/>
      <c r="G82" s="47">
        <v>4.0000000000000002E-4</v>
      </c>
      <c r="H82" s="78">
        <f>$G$82*$C$25</f>
        <v>0.59911175909090908</v>
      </c>
      <c r="I82" s="79"/>
    </row>
    <row r="83" spans="1:10" ht="16.5" customHeight="1" thickBot="1" x14ac:dyDescent="0.3">
      <c r="A83" s="32" t="s">
        <v>20</v>
      </c>
      <c r="B83" s="140" t="s">
        <v>53</v>
      </c>
      <c r="C83" s="141"/>
      <c r="D83" s="141"/>
      <c r="E83" s="141"/>
      <c r="F83" s="142"/>
      <c r="G83" s="47">
        <f>$G$49*$G$82</f>
        <v>1.4720000000000003E-4</v>
      </c>
      <c r="H83" s="78">
        <f>$G$83*$C$25</f>
        <v>0.22047312734545457</v>
      </c>
      <c r="I83" s="79"/>
    </row>
    <row r="84" spans="1:10" s="24" customFormat="1" ht="16.5" customHeight="1" thickBot="1" x14ac:dyDescent="0.3">
      <c r="A84" s="32" t="s">
        <v>21</v>
      </c>
      <c r="B84" s="140" t="s">
        <v>54</v>
      </c>
      <c r="C84" s="141"/>
      <c r="D84" s="141"/>
      <c r="E84" s="141"/>
      <c r="F84" s="142"/>
      <c r="G84" s="47">
        <v>2.5000000000000001E-2</v>
      </c>
      <c r="H84" s="78">
        <f>$G$84*$H$79</f>
        <v>0.15726683676136363</v>
      </c>
      <c r="I84" s="79"/>
    </row>
    <row r="85" spans="1:10" ht="16.5" thickBot="1" x14ac:dyDescent="0.3">
      <c r="A85" s="143" t="s">
        <v>0</v>
      </c>
      <c r="B85" s="144"/>
      <c r="C85" s="144"/>
      <c r="D85" s="144"/>
      <c r="E85" s="144"/>
      <c r="F85" s="145"/>
      <c r="G85" s="46"/>
      <c r="H85" s="78">
        <f>SUM($H$79:$I$84)</f>
        <v>7.9280459080499979</v>
      </c>
      <c r="I85" s="79"/>
    </row>
    <row r="86" spans="1:10" x14ac:dyDescent="0.25">
      <c r="A86" s="7" t="s">
        <v>105</v>
      </c>
    </row>
    <row r="88" spans="1:10" x14ac:dyDescent="0.25">
      <c r="A88" s="82" t="s">
        <v>55</v>
      </c>
      <c r="B88" s="82"/>
      <c r="C88" s="82"/>
      <c r="D88" s="82"/>
      <c r="E88" s="82"/>
      <c r="F88" s="82"/>
      <c r="G88" s="82"/>
      <c r="H88" s="82"/>
      <c r="I88" s="82"/>
    </row>
    <row r="91" spans="1:10" x14ac:dyDescent="0.25">
      <c r="A91" s="114" t="s">
        <v>56</v>
      </c>
      <c r="B91" s="114"/>
      <c r="C91" s="114"/>
      <c r="D91" s="114"/>
      <c r="E91" s="114"/>
      <c r="F91" s="114"/>
      <c r="G91" s="114"/>
      <c r="H91" s="114"/>
      <c r="I91" s="114"/>
    </row>
    <row r="92" spans="1:10" ht="16.5" thickBot="1" x14ac:dyDescent="0.3">
      <c r="A92" s="1"/>
    </row>
    <row r="93" spans="1:10" ht="16.5" thickBot="1" x14ac:dyDescent="0.3">
      <c r="A93" s="2" t="s">
        <v>57</v>
      </c>
      <c r="B93" s="83" t="s">
        <v>58</v>
      </c>
      <c r="C93" s="84"/>
      <c r="D93" s="84"/>
      <c r="E93" s="84"/>
      <c r="F93" s="85"/>
      <c r="G93" s="37" t="s">
        <v>33</v>
      </c>
      <c r="H93" s="115" t="s">
        <v>14</v>
      </c>
      <c r="I93" s="116"/>
    </row>
    <row r="94" spans="1:10" ht="16.5" thickBot="1" x14ac:dyDescent="0.3">
      <c r="A94" s="4" t="s">
        <v>15</v>
      </c>
      <c r="B94" s="89" t="s">
        <v>1</v>
      </c>
      <c r="C94" s="90"/>
      <c r="D94" s="90"/>
      <c r="E94" s="90"/>
      <c r="F94" s="91"/>
      <c r="G94" s="29">
        <f>1/12</f>
        <v>8.3333333333333329E-2</v>
      </c>
      <c r="H94" s="86">
        <f>$G$94*$C$25</f>
        <v>124.81494981060605</v>
      </c>
      <c r="I94" s="88"/>
      <c r="J94" s="42"/>
    </row>
    <row r="95" spans="1:10" ht="16.5" thickBot="1" x14ac:dyDescent="0.3">
      <c r="A95" s="4" t="s">
        <v>17</v>
      </c>
      <c r="B95" s="5" t="s">
        <v>58</v>
      </c>
      <c r="C95" s="106" t="s">
        <v>98</v>
      </c>
      <c r="D95" s="87"/>
      <c r="E95" s="88"/>
      <c r="F95" s="71">
        <v>0</v>
      </c>
      <c r="G95" s="68">
        <f>$F$95/30/12</f>
        <v>0</v>
      </c>
      <c r="H95" s="86">
        <f>$G$95*$C$25</f>
        <v>0</v>
      </c>
      <c r="I95" s="88"/>
    </row>
    <row r="96" spans="1:10" ht="32.25" customHeight="1" thickBot="1" x14ac:dyDescent="0.3">
      <c r="A96" s="4" t="s">
        <v>18</v>
      </c>
      <c r="B96" s="5" t="s">
        <v>59</v>
      </c>
      <c r="C96" s="27" t="s">
        <v>99</v>
      </c>
      <c r="D96" s="72">
        <v>0</v>
      </c>
      <c r="E96" s="29" t="s">
        <v>100</v>
      </c>
      <c r="F96" s="71">
        <v>5</v>
      </c>
      <c r="G96" s="68">
        <f>$F$96/30/12*$D$96</f>
        <v>0</v>
      </c>
      <c r="H96" s="86">
        <f>$G$96*$C$25</f>
        <v>0</v>
      </c>
      <c r="I96" s="88"/>
    </row>
    <row r="97" spans="1:9" ht="32.25" thickBot="1" x14ac:dyDescent="0.3">
      <c r="A97" s="4" t="s">
        <v>19</v>
      </c>
      <c r="B97" s="5" t="s">
        <v>60</v>
      </c>
      <c r="C97" s="27" t="s">
        <v>99</v>
      </c>
      <c r="D97" s="72">
        <v>0</v>
      </c>
      <c r="E97" s="29" t="s">
        <v>100</v>
      </c>
      <c r="F97" s="71">
        <v>15</v>
      </c>
      <c r="G97" s="68">
        <f>F97/30/12*D97</f>
        <v>0</v>
      </c>
      <c r="H97" s="86">
        <f>$G$97*$C$25</f>
        <v>0</v>
      </c>
      <c r="I97" s="88"/>
    </row>
    <row r="98" spans="1:9" ht="16.5" thickBot="1" x14ac:dyDescent="0.3">
      <c r="A98" s="4" t="s">
        <v>20</v>
      </c>
      <c r="B98" s="89" t="s">
        <v>61</v>
      </c>
      <c r="C98" s="90"/>
      <c r="D98" s="90"/>
      <c r="E98" s="90"/>
      <c r="F98" s="91"/>
      <c r="G98" s="68">
        <v>0</v>
      </c>
      <c r="H98" s="86">
        <f>$G$98*$C$25</f>
        <v>0</v>
      </c>
      <c r="I98" s="88"/>
    </row>
    <row r="99" spans="1:9" ht="16.5" thickBot="1" x14ac:dyDescent="0.3">
      <c r="A99" s="4" t="s">
        <v>21</v>
      </c>
      <c r="B99" s="89" t="s">
        <v>23</v>
      </c>
      <c r="C99" s="90"/>
      <c r="D99" s="90"/>
      <c r="E99" s="90"/>
      <c r="F99" s="91"/>
      <c r="G99" s="68"/>
      <c r="H99" s="146"/>
      <c r="I99" s="147"/>
    </row>
    <row r="100" spans="1:9" ht="16.5" thickBot="1" x14ac:dyDescent="0.3">
      <c r="A100" s="106" t="s">
        <v>102</v>
      </c>
      <c r="B100" s="87"/>
      <c r="C100" s="87"/>
      <c r="D100" s="87"/>
      <c r="E100" s="87"/>
      <c r="F100" s="88"/>
      <c r="G100" s="29">
        <f>SUM($G$94:$G$99)</f>
        <v>8.3333333333333329E-2</v>
      </c>
      <c r="H100" s="86">
        <f>SUM($H$94:$I$99)</f>
        <v>124.81494981060605</v>
      </c>
      <c r="I100" s="88"/>
    </row>
    <row r="101" spans="1:9" s="24" customFormat="1" ht="16.5" thickBot="1" x14ac:dyDescent="0.3">
      <c r="A101" s="106" t="s">
        <v>103</v>
      </c>
      <c r="B101" s="87"/>
      <c r="C101" s="87"/>
      <c r="D101" s="87"/>
      <c r="E101" s="87"/>
      <c r="F101" s="88"/>
      <c r="G101" s="43">
        <f>$G$100*$G$49</f>
        <v>3.0666666666666668E-2</v>
      </c>
      <c r="H101" s="86">
        <f>$G$101*$C$25</f>
        <v>45.93190153030303</v>
      </c>
      <c r="I101" s="113"/>
    </row>
    <row r="102" spans="1:9" s="24" customFormat="1" ht="16.5" thickBot="1" x14ac:dyDescent="0.3">
      <c r="A102" s="83" t="s">
        <v>104</v>
      </c>
      <c r="B102" s="84"/>
      <c r="C102" s="84"/>
      <c r="D102" s="84"/>
      <c r="E102" s="84"/>
      <c r="F102" s="85"/>
      <c r="G102" s="43">
        <f>SUM($G$100:$G$101)</f>
        <v>0.11399999999999999</v>
      </c>
      <c r="H102" s="86">
        <f>SUM($H$100:$I$101)</f>
        <v>170.74685134090907</v>
      </c>
      <c r="I102" s="113"/>
    </row>
    <row r="103" spans="1:9" x14ac:dyDescent="0.25">
      <c r="A103" s="7" t="s">
        <v>101</v>
      </c>
    </row>
    <row r="104" spans="1:9" s="24" customFormat="1" x14ac:dyDescent="0.25"/>
    <row r="105" spans="1:9" x14ac:dyDescent="0.25">
      <c r="A105" s="114" t="s">
        <v>62</v>
      </c>
      <c r="B105" s="114"/>
      <c r="C105" s="114"/>
      <c r="D105" s="114"/>
      <c r="E105" s="114"/>
      <c r="F105" s="114"/>
      <c r="G105" s="114"/>
      <c r="H105" s="114"/>
      <c r="I105" s="114"/>
    </row>
    <row r="106" spans="1:9" ht="16.5" thickBot="1" x14ac:dyDescent="0.3">
      <c r="A106" s="1"/>
    </row>
    <row r="107" spans="1:9" ht="16.5" thickBot="1" x14ac:dyDescent="0.3">
      <c r="A107" s="2" t="s">
        <v>63</v>
      </c>
      <c r="B107" s="83" t="s">
        <v>64</v>
      </c>
      <c r="C107" s="84"/>
      <c r="D107" s="84"/>
      <c r="E107" s="84"/>
      <c r="F107" s="85"/>
      <c r="G107" s="37" t="s">
        <v>33</v>
      </c>
      <c r="H107" s="115" t="s">
        <v>14</v>
      </c>
      <c r="I107" s="116"/>
    </row>
    <row r="108" spans="1:9" ht="16.5" thickBot="1" x14ac:dyDescent="0.3">
      <c r="A108" s="4" t="s">
        <v>15</v>
      </c>
      <c r="B108" s="106" t="s">
        <v>75</v>
      </c>
      <c r="C108" s="87"/>
      <c r="D108" s="87"/>
      <c r="E108" s="87"/>
      <c r="F108" s="88"/>
      <c r="G108" s="68">
        <v>0</v>
      </c>
      <c r="H108" s="86">
        <f>$G$108*$C$25</f>
        <v>0</v>
      </c>
      <c r="I108" s="88"/>
    </row>
    <row r="109" spans="1:9" ht="16.5" thickBot="1" x14ac:dyDescent="0.3">
      <c r="A109" s="83" t="s">
        <v>0</v>
      </c>
      <c r="B109" s="84"/>
      <c r="C109" s="84"/>
      <c r="D109" s="84"/>
      <c r="E109" s="84"/>
      <c r="F109" s="85"/>
      <c r="G109" s="68">
        <v>0</v>
      </c>
      <c r="H109" s="86">
        <f>$H$108</f>
        <v>0</v>
      </c>
      <c r="I109" s="88"/>
    </row>
    <row r="110" spans="1:9" ht="16.5" thickBot="1" x14ac:dyDescent="0.3">
      <c r="A110" s="106" t="s">
        <v>130</v>
      </c>
      <c r="B110" s="87"/>
      <c r="C110" s="87"/>
      <c r="D110" s="87"/>
      <c r="E110" s="87"/>
      <c r="F110" s="88"/>
      <c r="G110" s="72">
        <f>G109*G51</f>
        <v>0</v>
      </c>
      <c r="H110" s="86">
        <f>G110*H109</f>
        <v>0</v>
      </c>
      <c r="I110" s="113"/>
    </row>
    <row r="111" spans="1:9" ht="16.5" thickBot="1" x14ac:dyDescent="0.3">
      <c r="A111" s="83" t="s">
        <v>104</v>
      </c>
      <c r="B111" s="84"/>
      <c r="C111" s="84"/>
      <c r="D111" s="84"/>
      <c r="E111" s="84"/>
      <c r="F111" s="85"/>
      <c r="G111" s="43"/>
      <c r="H111" s="86">
        <f>H110+H109</f>
        <v>0</v>
      </c>
      <c r="I111" s="113"/>
    </row>
    <row r="114" spans="1:9" x14ac:dyDescent="0.25">
      <c r="A114" s="114" t="s">
        <v>65</v>
      </c>
      <c r="B114" s="114"/>
      <c r="C114" s="114"/>
      <c r="D114" s="114"/>
      <c r="E114" s="114"/>
      <c r="F114" s="114"/>
      <c r="G114" s="114"/>
      <c r="H114" s="114"/>
      <c r="I114" s="114"/>
    </row>
    <row r="115" spans="1:9" ht="16.5" thickBot="1" x14ac:dyDescent="0.3">
      <c r="A115" s="1"/>
    </row>
    <row r="116" spans="1:9" ht="16.5" thickBot="1" x14ac:dyDescent="0.3">
      <c r="A116" s="2">
        <v>4</v>
      </c>
      <c r="B116" s="83" t="s">
        <v>66</v>
      </c>
      <c r="C116" s="84"/>
      <c r="D116" s="84"/>
      <c r="E116" s="84"/>
      <c r="F116" s="84"/>
      <c r="G116" s="85"/>
      <c r="H116" s="115" t="s">
        <v>14</v>
      </c>
      <c r="I116" s="116"/>
    </row>
    <row r="117" spans="1:9" ht="16.5" thickBot="1" x14ac:dyDescent="0.3">
      <c r="A117" s="4" t="s">
        <v>57</v>
      </c>
      <c r="B117" s="89" t="s">
        <v>58</v>
      </c>
      <c r="C117" s="90"/>
      <c r="D117" s="90"/>
      <c r="E117" s="90"/>
      <c r="F117" s="90"/>
      <c r="G117" s="91"/>
      <c r="H117" s="86">
        <f>$H$102</f>
        <v>170.74685134090907</v>
      </c>
      <c r="I117" s="88"/>
    </row>
    <row r="118" spans="1:9" ht="16.5" thickBot="1" x14ac:dyDescent="0.3">
      <c r="A118" s="4" t="s">
        <v>63</v>
      </c>
      <c r="B118" s="89" t="s">
        <v>64</v>
      </c>
      <c r="C118" s="90"/>
      <c r="D118" s="90"/>
      <c r="E118" s="90"/>
      <c r="F118" s="90"/>
      <c r="G118" s="91"/>
      <c r="H118" s="86">
        <f>$H$111</f>
        <v>0</v>
      </c>
      <c r="I118" s="88"/>
    </row>
    <row r="119" spans="1:9" ht="16.5" thickBot="1" x14ac:dyDescent="0.3">
      <c r="A119" s="83" t="s">
        <v>0</v>
      </c>
      <c r="B119" s="84"/>
      <c r="C119" s="84"/>
      <c r="D119" s="84"/>
      <c r="E119" s="84"/>
      <c r="F119" s="84"/>
      <c r="G119" s="85"/>
      <c r="H119" s="86">
        <f>$H$117+$H$118</f>
        <v>170.74685134090907</v>
      </c>
      <c r="I119" s="88"/>
    </row>
    <row r="122" spans="1:9" x14ac:dyDescent="0.25">
      <c r="A122" s="82" t="s">
        <v>67</v>
      </c>
      <c r="B122" s="82"/>
      <c r="C122" s="82"/>
      <c r="D122" s="82"/>
      <c r="E122" s="82"/>
      <c r="F122" s="82"/>
      <c r="G122" s="82"/>
      <c r="H122" s="82"/>
      <c r="I122" s="82"/>
    </row>
    <row r="123" spans="1:9" ht="16.5" thickBot="1" x14ac:dyDescent="0.3"/>
    <row r="124" spans="1:9" ht="48" thickBot="1" x14ac:dyDescent="0.3">
      <c r="A124" s="2">
        <v>5</v>
      </c>
      <c r="B124" s="6" t="s">
        <v>6</v>
      </c>
      <c r="C124" s="6" t="s">
        <v>112</v>
      </c>
      <c r="D124" s="83" t="s">
        <v>113</v>
      </c>
      <c r="E124" s="85"/>
      <c r="F124" s="83" t="s">
        <v>114</v>
      </c>
      <c r="G124" s="85"/>
      <c r="H124" s="115" t="s">
        <v>14</v>
      </c>
      <c r="I124" s="116"/>
    </row>
    <row r="125" spans="1:9" s="24" customFormat="1" ht="16.5" thickBot="1" x14ac:dyDescent="0.3">
      <c r="A125" s="21" t="s">
        <v>15</v>
      </c>
      <c r="B125" s="22" t="s">
        <v>10</v>
      </c>
      <c r="C125" s="70">
        <v>55.6</v>
      </c>
      <c r="D125" s="106">
        <v>8</v>
      </c>
      <c r="E125" s="88"/>
      <c r="F125" s="106">
        <v>2</v>
      </c>
      <c r="G125" s="88"/>
      <c r="H125" s="86">
        <f>$C$125*$F$125/$D$125</f>
        <v>13.9</v>
      </c>
      <c r="I125" s="113"/>
    </row>
    <row r="126" spans="1:9" s="24" customFormat="1" ht="16.5" thickBot="1" x14ac:dyDescent="0.3">
      <c r="A126" s="21" t="s">
        <v>17</v>
      </c>
      <c r="B126" s="22" t="s">
        <v>106</v>
      </c>
      <c r="C126" s="70">
        <v>55.98</v>
      </c>
      <c r="D126" s="106">
        <v>6</v>
      </c>
      <c r="E126" s="88"/>
      <c r="F126" s="106">
        <v>2</v>
      </c>
      <c r="G126" s="88"/>
      <c r="H126" s="86">
        <f>$C$126*$F$126/$D$126</f>
        <v>18.66</v>
      </c>
      <c r="I126" s="113"/>
    </row>
    <row r="127" spans="1:9" s="24" customFormat="1" ht="16.5" thickBot="1" x14ac:dyDescent="0.3">
      <c r="A127" s="21" t="s">
        <v>18</v>
      </c>
      <c r="B127" s="22" t="s">
        <v>11</v>
      </c>
      <c r="C127" s="70">
        <v>77.16</v>
      </c>
      <c r="D127" s="106">
        <v>6</v>
      </c>
      <c r="E127" s="88"/>
      <c r="F127" s="106">
        <v>2</v>
      </c>
      <c r="G127" s="88"/>
      <c r="H127" s="86">
        <f>$C$127*$F$127/$D$127</f>
        <v>25.72</v>
      </c>
      <c r="I127" s="113"/>
    </row>
    <row r="128" spans="1:9" s="24" customFormat="1" ht="16.5" thickBot="1" x14ac:dyDescent="0.3">
      <c r="A128" s="21" t="s">
        <v>19</v>
      </c>
      <c r="B128" s="22" t="s">
        <v>107</v>
      </c>
      <c r="C128" s="70">
        <v>10.14</v>
      </c>
      <c r="D128" s="106">
        <v>4</v>
      </c>
      <c r="E128" s="88"/>
      <c r="F128" s="106">
        <v>3</v>
      </c>
      <c r="G128" s="88"/>
      <c r="H128" s="86">
        <f>$C$128*$F$128/$D$128</f>
        <v>7.6050000000000004</v>
      </c>
      <c r="I128" s="113"/>
    </row>
    <row r="129" spans="1:9" ht="16.5" thickBot="1" x14ac:dyDescent="0.3">
      <c r="A129" s="4" t="s">
        <v>20</v>
      </c>
      <c r="B129" s="22" t="s">
        <v>108</v>
      </c>
      <c r="C129" s="70">
        <v>100.8</v>
      </c>
      <c r="D129" s="106">
        <v>24</v>
      </c>
      <c r="E129" s="88"/>
      <c r="F129" s="106">
        <v>1</v>
      </c>
      <c r="G129" s="88"/>
      <c r="H129" s="86">
        <f>$C$129*$F$129/$D$129</f>
        <v>4.2</v>
      </c>
      <c r="I129" s="113"/>
    </row>
    <row r="130" spans="1:9" ht="16.5" thickBot="1" x14ac:dyDescent="0.3">
      <c r="A130" s="4" t="s">
        <v>21</v>
      </c>
      <c r="B130" s="22" t="s">
        <v>109</v>
      </c>
      <c r="C130" s="70">
        <v>21.33</v>
      </c>
      <c r="D130" s="106">
        <v>24</v>
      </c>
      <c r="E130" s="88"/>
      <c r="F130" s="106">
        <v>1</v>
      </c>
      <c r="G130" s="88"/>
      <c r="H130" s="86">
        <f>$C$130*$F$130/$D$130</f>
        <v>0.88874999999999993</v>
      </c>
      <c r="I130" s="113"/>
    </row>
    <row r="131" spans="1:9" ht="16.5" thickBot="1" x14ac:dyDescent="0.3">
      <c r="A131" s="4" t="s">
        <v>22</v>
      </c>
      <c r="B131" s="22" t="s">
        <v>110</v>
      </c>
      <c r="C131" s="70">
        <v>5.81</v>
      </c>
      <c r="D131" s="106">
        <v>12</v>
      </c>
      <c r="E131" s="88"/>
      <c r="F131" s="106">
        <v>1</v>
      </c>
      <c r="G131" s="88"/>
      <c r="H131" s="86">
        <f>$C$131*$F$131/$D$131</f>
        <v>0.48416666666666663</v>
      </c>
      <c r="I131" s="113"/>
    </row>
    <row r="132" spans="1:9" s="24" customFormat="1" ht="16.5" thickBot="1" x14ac:dyDescent="0.3">
      <c r="A132" s="21" t="s">
        <v>38</v>
      </c>
      <c r="B132" s="22" t="s">
        <v>111</v>
      </c>
      <c r="C132" s="70">
        <v>75</v>
      </c>
      <c r="D132" s="106">
        <v>24</v>
      </c>
      <c r="E132" s="88"/>
      <c r="F132" s="106">
        <v>1</v>
      </c>
      <c r="G132" s="88"/>
      <c r="H132" s="86">
        <f>$C$132*$F$132/$D$132</f>
        <v>3.125</v>
      </c>
      <c r="I132" s="113"/>
    </row>
    <row r="133" spans="1:9" s="24" customFormat="1" ht="16.5" thickBot="1" x14ac:dyDescent="0.3">
      <c r="A133" s="83" t="s">
        <v>0</v>
      </c>
      <c r="B133" s="84"/>
      <c r="C133" s="84"/>
      <c r="D133" s="84"/>
      <c r="E133" s="84"/>
      <c r="F133" s="84"/>
      <c r="G133" s="85"/>
      <c r="H133" s="86">
        <f>SUM($H$125:$I$132)</f>
        <v>74.582916666666677</v>
      </c>
      <c r="I133" s="113"/>
    </row>
    <row r="136" spans="1:9" x14ac:dyDescent="0.25">
      <c r="A136" s="82" t="s">
        <v>68</v>
      </c>
      <c r="B136" s="82"/>
      <c r="C136" s="82"/>
      <c r="D136" s="82"/>
      <c r="E136" s="82"/>
      <c r="F136" s="82"/>
      <c r="G136" s="82"/>
      <c r="H136" s="82"/>
      <c r="I136" s="82"/>
    </row>
    <row r="137" spans="1:9" ht="16.5" thickBot="1" x14ac:dyDescent="0.3"/>
    <row r="138" spans="1:9" ht="16.5" thickBot="1" x14ac:dyDescent="0.3">
      <c r="A138" s="2">
        <v>6</v>
      </c>
      <c r="B138" s="83" t="s">
        <v>7</v>
      </c>
      <c r="C138" s="84"/>
      <c r="D138" s="84"/>
      <c r="E138" s="84"/>
      <c r="F138" s="84"/>
      <c r="G138" s="85"/>
      <c r="H138" s="83" t="s">
        <v>14</v>
      </c>
      <c r="I138" s="85"/>
    </row>
    <row r="139" spans="1:9" ht="16.5" thickBot="1" x14ac:dyDescent="0.3">
      <c r="A139" s="4" t="s">
        <v>15</v>
      </c>
      <c r="B139" s="89" t="s">
        <v>115</v>
      </c>
      <c r="C139" s="90"/>
      <c r="D139" s="90"/>
      <c r="E139" s="90"/>
      <c r="F139" s="91"/>
      <c r="G139" s="68">
        <v>0.05</v>
      </c>
      <c r="H139" s="148">
        <f>(((1+$G$139)*(1+$G$140))/(1-$E$143))-1</f>
        <v>0.29795918367346985</v>
      </c>
      <c r="I139" s="149"/>
    </row>
    <row r="140" spans="1:9" ht="16.5" thickBot="1" x14ac:dyDescent="0.3">
      <c r="A140" s="4" t="s">
        <v>17</v>
      </c>
      <c r="B140" s="89" t="s">
        <v>9</v>
      </c>
      <c r="C140" s="161"/>
      <c r="D140" s="161"/>
      <c r="E140" s="161"/>
      <c r="F140" s="162"/>
      <c r="G140" s="73">
        <v>0.06</v>
      </c>
      <c r="H140" s="150"/>
      <c r="I140" s="151"/>
    </row>
    <row r="141" spans="1:9" s="24" customFormat="1" ht="16.5" thickBot="1" x14ac:dyDescent="0.3">
      <c r="A141" s="119" t="s">
        <v>18</v>
      </c>
      <c r="B141" s="83" t="s">
        <v>123</v>
      </c>
      <c r="C141" s="84"/>
      <c r="D141" s="84"/>
      <c r="E141" s="84"/>
      <c r="F141" s="84"/>
      <c r="G141" s="85"/>
      <c r="H141" s="150"/>
      <c r="I141" s="151"/>
    </row>
    <row r="142" spans="1:9" ht="16.5" thickBot="1" x14ac:dyDescent="0.3">
      <c r="A142" s="120"/>
      <c r="B142" s="44" t="s">
        <v>8</v>
      </c>
      <c r="C142" s="44"/>
      <c r="D142" s="45" t="s">
        <v>116</v>
      </c>
      <c r="E142" s="83" t="s">
        <v>131</v>
      </c>
      <c r="F142" s="84"/>
      <c r="G142" s="85"/>
      <c r="H142" s="150"/>
      <c r="I142" s="151"/>
    </row>
    <row r="143" spans="1:9" s="24" customFormat="1" ht="16.5" thickBot="1" x14ac:dyDescent="0.3">
      <c r="A143" s="120"/>
      <c r="B143" s="119" t="s">
        <v>117</v>
      </c>
      <c r="C143" s="44" t="s">
        <v>124</v>
      </c>
      <c r="D143" s="72">
        <v>1.6500000000000001E-2</v>
      </c>
      <c r="E143" s="148">
        <f>SUM($D$143:$D$149)</f>
        <v>0.14250000000000002</v>
      </c>
      <c r="F143" s="156"/>
      <c r="G143" s="149"/>
      <c r="H143" s="150"/>
      <c r="I143" s="151"/>
    </row>
    <row r="144" spans="1:9" s="24" customFormat="1" ht="16.5" thickBot="1" x14ac:dyDescent="0.3">
      <c r="A144" s="120"/>
      <c r="B144" s="120"/>
      <c r="C144" s="44" t="s">
        <v>125</v>
      </c>
      <c r="D144" s="72">
        <v>7.5999999999999998E-2</v>
      </c>
      <c r="E144" s="150"/>
      <c r="F144" s="157"/>
      <c r="G144" s="151"/>
      <c r="H144" s="150"/>
      <c r="I144" s="151"/>
    </row>
    <row r="145" spans="1:10" s="24" customFormat="1" ht="16.5" thickBot="1" x14ac:dyDescent="0.3">
      <c r="A145" s="120"/>
      <c r="B145" s="121"/>
      <c r="C145" s="44" t="s">
        <v>126</v>
      </c>
      <c r="D145" s="72">
        <v>0</v>
      </c>
      <c r="E145" s="150"/>
      <c r="F145" s="157"/>
      <c r="G145" s="151"/>
      <c r="H145" s="150"/>
      <c r="I145" s="151"/>
    </row>
    <row r="146" spans="1:10" s="24" customFormat="1" ht="16.5" thickBot="1" x14ac:dyDescent="0.3">
      <c r="A146" s="120"/>
      <c r="B146" s="44" t="s">
        <v>118</v>
      </c>
      <c r="C146" s="44"/>
      <c r="D146" s="43"/>
      <c r="E146" s="150"/>
      <c r="F146" s="157"/>
      <c r="G146" s="151"/>
      <c r="H146" s="150"/>
      <c r="I146" s="151"/>
    </row>
    <row r="147" spans="1:10" s="24" customFormat="1" ht="16.5" thickBot="1" x14ac:dyDescent="0.3">
      <c r="A147" s="120"/>
      <c r="B147" s="154" t="s">
        <v>119</v>
      </c>
      <c r="C147" s="44" t="s">
        <v>127</v>
      </c>
      <c r="D147" s="72">
        <v>0.05</v>
      </c>
      <c r="E147" s="150"/>
      <c r="F147" s="157"/>
      <c r="G147" s="151"/>
      <c r="H147" s="150"/>
      <c r="I147" s="151"/>
    </row>
    <row r="148" spans="1:10" s="24" customFormat="1" ht="16.5" thickBot="1" x14ac:dyDescent="0.3">
      <c r="A148" s="120"/>
      <c r="B148" s="155"/>
      <c r="C148" s="44" t="s">
        <v>126</v>
      </c>
      <c r="D148" s="72">
        <v>0</v>
      </c>
      <c r="E148" s="150"/>
      <c r="F148" s="157"/>
      <c r="G148" s="151"/>
      <c r="H148" s="150"/>
      <c r="I148" s="151"/>
    </row>
    <row r="149" spans="1:10" s="24" customFormat="1" ht="16.5" thickBot="1" x14ac:dyDescent="0.3">
      <c r="A149" s="121"/>
      <c r="B149" s="44" t="s">
        <v>120</v>
      </c>
      <c r="C149" s="44"/>
      <c r="D149" s="72">
        <v>0</v>
      </c>
      <c r="E149" s="152"/>
      <c r="F149" s="158"/>
      <c r="G149" s="153"/>
      <c r="H149" s="150"/>
      <c r="I149" s="151"/>
      <c r="J149" s="48"/>
    </row>
    <row r="150" spans="1:10" ht="32.25" customHeight="1" thickBot="1" x14ac:dyDescent="0.3">
      <c r="A150" s="83" t="s">
        <v>39</v>
      </c>
      <c r="B150" s="84"/>
      <c r="C150" s="84"/>
      <c r="D150" s="84"/>
      <c r="E150" s="84"/>
      <c r="F150" s="84"/>
      <c r="G150" s="85"/>
      <c r="H150" s="150"/>
      <c r="I150" s="151"/>
    </row>
    <row r="151" spans="1:10" ht="16.5" customHeight="1" thickBot="1" x14ac:dyDescent="0.3">
      <c r="A151" s="83" t="s">
        <v>121</v>
      </c>
      <c r="B151" s="84"/>
      <c r="C151" s="84"/>
      <c r="D151" s="84"/>
      <c r="E151" s="84"/>
      <c r="F151" s="84"/>
      <c r="G151" s="85"/>
      <c r="H151" s="152"/>
      <c r="I151" s="153"/>
    </row>
    <row r="153" spans="1:10" x14ac:dyDescent="0.25">
      <c r="A153" s="82" t="s">
        <v>69</v>
      </c>
      <c r="B153" s="82"/>
      <c r="C153" s="82"/>
      <c r="D153" s="82"/>
      <c r="E153" s="82"/>
      <c r="F153" s="82"/>
      <c r="G153" s="82"/>
      <c r="H153" s="82"/>
      <c r="I153" s="82"/>
    </row>
    <row r="154" spans="1:10" ht="16.5" thickBot="1" x14ac:dyDescent="0.3"/>
    <row r="155" spans="1:10" ht="32.25" customHeight="1" thickBot="1" x14ac:dyDescent="0.3">
      <c r="A155" s="2"/>
      <c r="B155" s="163" t="s">
        <v>70</v>
      </c>
      <c r="C155" s="164"/>
      <c r="D155" s="164"/>
      <c r="E155" s="164"/>
      <c r="F155" s="165"/>
      <c r="G155" s="83" t="s">
        <v>14</v>
      </c>
      <c r="H155" s="84"/>
      <c r="I155" s="85"/>
    </row>
    <row r="156" spans="1:10" ht="16.5" thickBot="1" x14ac:dyDescent="0.3">
      <c r="A156" s="8" t="s">
        <v>15</v>
      </c>
      <c r="B156" s="89" t="s">
        <v>12</v>
      </c>
      <c r="C156" s="90"/>
      <c r="D156" s="90"/>
      <c r="E156" s="90"/>
      <c r="F156" s="91"/>
      <c r="G156" s="86">
        <f>$C$25</f>
        <v>1497.7793977272727</v>
      </c>
      <c r="H156" s="87"/>
      <c r="I156" s="88"/>
    </row>
    <row r="157" spans="1:10" ht="30" customHeight="1" thickBot="1" x14ac:dyDescent="0.3">
      <c r="A157" s="8" t="s">
        <v>17</v>
      </c>
      <c r="B157" s="89" t="s">
        <v>24</v>
      </c>
      <c r="C157" s="90"/>
      <c r="D157" s="90"/>
      <c r="E157" s="90"/>
      <c r="F157" s="91"/>
      <c r="G157" s="86">
        <f>$H$74</f>
        <v>1384.5130868181818</v>
      </c>
      <c r="H157" s="87"/>
      <c r="I157" s="88"/>
    </row>
    <row r="158" spans="1:10" ht="16.5" thickBot="1" x14ac:dyDescent="0.3">
      <c r="A158" s="8" t="s">
        <v>18</v>
      </c>
      <c r="B158" s="89" t="s">
        <v>47</v>
      </c>
      <c r="C158" s="90"/>
      <c r="D158" s="90"/>
      <c r="E158" s="90"/>
      <c r="F158" s="91"/>
      <c r="G158" s="86">
        <f>$H$85</f>
        <v>7.9280459080499979</v>
      </c>
      <c r="H158" s="87"/>
      <c r="I158" s="88"/>
    </row>
    <row r="159" spans="1:10" ht="16.5" thickBot="1" x14ac:dyDescent="0.3">
      <c r="A159" s="8" t="s">
        <v>19</v>
      </c>
      <c r="B159" s="89" t="s">
        <v>55</v>
      </c>
      <c r="C159" s="90"/>
      <c r="D159" s="90"/>
      <c r="E159" s="90"/>
      <c r="F159" s="91"/>
      <c r="G159" s="86">
        <f>$H$119</f>
        <v>170.74685134090907</v>
      </c>
      <c r="H159" s="122"/>
      <c r="I159" s="113"/>
    </row>
    <row r="160" spans="1:10" ht="16.5" thickBot="1" x14ac:dyDescent="0.3">
      <c r="A160" s="8" t="s">
        <v>20</v>
      </c>
      <c r="B160" s="89" t="s">
        <v>67</v>
      </c>
      <c r="C160" s="90"/>
      <c r="D160" s="90"/>
      <c r="E160" s="90"/>
      <c r="F160" s="91"/>
      <c r="G160" s="86">
        <f>H133</f>
        <v>74.582916666666677</v>
      </c>
      <c r="H160" s="122"/>
      <c r="I160" s="113"/>
    </row>
    <row r="161" spans="1:9" ht="16.5" customHeight="1" thickBot="1" x14ac:dyDescent="0.3">
      <c r="A161" s="83" t="s">
        <v>71</v>
      </c>
      <c r="B161" s="84"/>
      <c r="C161" s="84"/>
      <c r="D161" s="84"/>
      <c r="E161" s="84"/>
      <c r="F161" s="85"/>
      <c r="G161" s="86">
        <f>SUM(G156:G160)</f>
        <v>3135.5502984610803</v>
      </c>
      <c r="H161" s="122"/>
      <c r="I161" s="113"/>
    </row>
    <row r="162" spans="1:9" ht="16.5" thickBot="1" x14ac:dyDescent="0.3">
      <c r="A162" s="8" t="s">
        <v>21</v>
      </c>
      <c r="B162" s="5" t="s">
        <v>122</v>
      </c>
      <c r="C162" s="132">
        <f>H139</f>
        <v>0.29795918367346985</v>
      </c>
      <c r="D162" s="169"/>
      <c r="E162" s="169"/>
      <c r="F162" s="133"/>
      <c r="G162" s="86">
        <f>G161*C162</f>
        <v>934.2660072965682</v>
      </c>
      <c r="H162" s="122"/>
      <c r="I162" s="113"/>
    </row>
    <row r="163" spans="1:9" ht="16.5" customHeight="1" thickBot="1" x14ac:dyDescent="0.3">
      <c r="A163" s="83" t="s">
        <v>72</v>
      </c>
      <c r="B163" s="84"/>
      <c r="C163" s="84"/>
      <c r="D163" s="159"/>
      <c r="E163" s="159"/>
      <c r="F163" s="160"/>
      <c r="G163" s="166">
        <f>G161+G162</f>
        <v>4069.8163057576485</v>
      </c>
      <c r="H163" s="167"/>
      <c r="I163" s="168"/>
    </row>
    <row r="164" spans="1:9" s="24" customFormat="1" ht="16.5" customHeight="1" thickBot="1" x14ac:dyDescent="0.3">
      <c r="A164" s="103" t="s">
        <v>22</v>
      </c>
      <c r="B164" s="106" t="s">
        <v>157</v>
      </c>
      <c r="C164" s="87"/>
      <c r="D164" s="27"/>
      <c r="E164" s="60">
        <f>257/10*7</f>
        <v>179.9</v>
      </c>
      <c r="F164" s="61"/>
      <c r="G164" s="92">
        <f>F165*E164</f>
        <v>29.983333333333334</v>
      </c>
      <c r="H164" s="93"/>
      <c r="I164" s="94"/>
    </row>
    <row r="165" spans="1:9" s="24" customFormat="1" ht="35.25" customHeight="1" thickBot="1" x14ac:dyDescent="0.3">
      <c r="A165" s="104"/>
      <c r="B165" s="59" t="s">
        <v>156</v>
      </c>
      <c r="C165" s="45">
        <v>1</v>
      </c>
      <c r="D165" s="101" t="s">
        <v>158</v>
      </c>
      <c r="E165" s="102"/>
      <c r="F165" s="63">
        <f>1/6</f>
        <v>0.16666666666666666</v>
      </c>
      <c r="G165" s="95"/>
      <c r="H165" s="96"/>
      <c r="I165" s="97"/>
    </row>
    <row r="166" spans="1:9" s="24" customFormat="1" ht="16.5" customHeight="1" thickBot="1" x14ac:dyDescent="0.3">
      <c r="A166" s="105"/>
      <c r="B166" s="83" t="s">
        <v>0</v>
      </c>
      <c r="C166" s="84"/>
      <c r="D166" s="84"/>
      <c r="E166" s="84"/>
      <c r="F166" s="84"/>
      <c r="G166" s="98"/>
      <c r="H166" s="99"/>
      <c r="I166" s="100"/>
    </row>
    <row r="167" spans="1:9" ht="16.5" thickBot="1" x14ac:dyDescent="0.3">
      <c r="A167" s="107" t="s">
        <v>136</v>
      </c>
      <c r="B167" s="108"/>
      <c r="C167" s="108"/>
      <c r="D167" s="108"/>
      <c r="E167" s="108"/>
      <c r="F167" s="109"/>
      <c r="G167" s="110">
        <f>G163+H165</f>
        <v>4069.8163057576485</v>
      </c>
      <c r="H167" s="111"/>
      <c r="I167" s="112"/>
    </row>
    <row r="168" spans="1:9" x14ac:dyDescent="0.25">
      <c r="A168" s="24"/>
      <c r="B168" s="24"/>
      <c r="G168" s="24"/>
      <c r="I168" s="24"/>
    </row>
    <row r="169" spans="1:9" x14ac:dyDescent="0.25">
      <c r="A169" s="24"/>
      <c r="B169" s="24"/>
      <c r="G169" s="62"/>
      <c r="I169" s="24"/>
    </row>
    <row r="170" spans="1:9" x14ac:dyDescent="0.25">
      <c r="A170" s="24"/>
      <c r="B170" s="24"/>
      <c r="G170" s="24"/>
      <c r="I170" s="24"/>
    </row>
  </sheetData>
  <sheetProtection password="D88A" sheet="1" objects="1" scenarios="1"/>
  <mergeCells count="217">
    <mergeCell ref="E142:G142"/>
    <mergeCell ref="E143:G149"/>
    <mergeCell ref="A163:F163"/>
    <mergeCell ref="B138:G138"/>
    <mergeCell ref="B157:F157"/>
    <mergeCell ref="B158:F158"/>
    <mergeCell ref="B159:F159"/>
    <mergeCell ref="B160:F160"/>
    <mergeCell ref="A161:F161"/>
    <mergeCell ref="B140:F140"/>
    <mergeCell ref="B143:B145"/>
    <mergeCell ref="A151:G151"/>
    <mergeCell ref="B155:F155"/>
    <mergeCell ref="G163:I163"/>
    <mergeCell ref="G157:I157"/>
    <mergeCell ref="G158:I158"/>
    <mergeCell ref="G159:I159"/>
    <mergeCell ref="G162:I162"/>
    <mergeCell ref="C162:F162"/>
    <mergeCell ref="G160:I160"/>
    <mergeCell ref="G161:I161"/>
    <mergeCell ref="H109:I109"/>
    <mergeCell ref="A114:I114"/>
    <mergeCell ref="D124:E124"/>
    <mergeCell ref="F124:G124"/>
    <mergeCell ref="D125:E125"/>
    <mergeCell ref="F125:G125"/>
    <mergeCell ref="B116:G116"/>
    <mergeCell ref="A109:F109"/>
    <mergeCell ref="B156:F156"/>
    <mergeCell ref="H139:I151"/>
    <mergeCell ref="D132:E132"/>
    <mergeCell ref="F132:G132"/>
    <mergeCell ref="H129:I129"/>
    <mergeCell ref="D126:E126"/>
    <mergeCell ref="F126:G126"/>
    <mergeCell ref="D127:E127"/>
    <mergeCell ref="F127:G127"/>
    <mergeCell ref="A141:A149"/>
    <mergeCell ref="B147:B148"/>
    <mergeCell ref="A150:G150"/>
    <mergeCell ref="H127:I127"/>
    <mergeCell ref="H128:I128"/>
    <mergeCell ref="H132:I132"/>
    <mergeCell ref="A133:G133"/>
    <mergeCell ref="A91:I91"/>
    <mergeCell ref="H93:I93"/>
    <mergeCell ref="H81:I81"/>
    <mergeCell ref="H82:I82"/>
    <mergeCell ref="H83:I83"/>
    <mergeCell ref="H85:I85"/>
    <mergeCell ref="H101:I101"/>
    <mergeCell ref="H102:I102"/>
    <mergeCell ref="B141:G141"/>
    <mergeCell ref="A110:F110"/>
    <mergeCell ref="H110:I110"/>
    <mergeCell ref="A111:F111"/>
    <mergeCell ref="H111:I111"/>
    <mergeCell ref="A88:I88"/>
    <mergeCell ref="H96:I96"/>
    <mergeCell ref="H125:I125"/>
    <mergeCell ref="H116:I116"/>
    <mergeCell ref="H97:I97"/>
    <mergeCell ref="H98:I98"/>
    <mergeCell ref="H99:I99"/>
    <mergeCell ref="H100:I100"/>
    <mergeCell ref="A105:I105"/>
    <mergeCell ref="H107:I107"/>
    <mergeCell ref="H108:I108"/>
    <mergeCell ref="B108:F108"/>
    <mergeCell ref="A101:F101"/>
    <mergeCell ref="A102:F102"/>
    <mergeCell ref="B93:F93"/>
    <mergeCell ref="B94:F94"/>
    <mergeCell ref="C95:E95"/>
    <mergeCell ref="B98:F98"/>
    <mergeCell ref="B99:F99"/>
    <mergeCell ref="A100:F100"/>
    <mergeCell ref="B107:F107"/>
    <mergeCell ref="H59:I59"/>
    <mergeCell ref="B80:F80"/>
    <mergeCell ref="H64:I64"/>
    <mergeCell ref="B81:F81"/>
    <mergeCell ref="B82:F82"/>
    <mergeCell ref="B83:F83"/>
    <mergeCell ref="B84:F84"/>
    <mergeCell ref="A85:F85"/>
    <mergeCell ref="A68:I68"/>
    <mergeCell ref="H71:I71"/>
    <mergeCell ref="H72:I72"/>
    <mergeCell ref="H73:I73"/>
    <mergeCell ref="H74:I74"/>
    <mergeCell ref="H65:I65"/>
    <mergeCell ref="B78:F78"/>
    <mergeCell ref="B79:F79"/>
    <mergeCell ref="H70:I70"/>
    <mergeCell ref="H60:I60"/>
    <mergeCell ref="H61:I61"/>
    <mergeCell ref="H62:I62"/>
    <mergeCell ref="H84:I84"/>
    <mergeCell ref="A76:I76"/>
    <mergeCell ref="H78:I78"/>
    <mergeCell ref="H79:I79"/>
    <mergeCell ref="H124:I124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E36:F36"/>
    <mergeCell ref="A25:B25"/>
    <mergeCell ref="B64:G64"/>
    <mergeCell ref="A65:G65"/>
    <mergeCell ref="B70:G70"/>
    <mergeCell ref="B72:G72"/>
    <mergeCell ref="B73:G73"/>
    <mergeCell ref="B71:G71"/>
    <mergeCell ref="A74:G74"/>
    <mergeCell ref="A51:F51"/>
    <mergeCell ref="B41:F41"/>
    <mergeCell ref="B42:F42"/>
    <mergeCell ref="B44:F44"/>
    <mergeCell ref="B45:F45"/>
    <mergeCell ref="B62:G62"/>
    <mergeCell ref="B63:G63"/>
    <mergeCell ref="B60:G60"/>
    <mergeCell ref="B61:G61"/>
    <mergeCell ref="B40:F40"/>
    <mergeCell ref="E59:F59"/>
    <mergeCell ref="A49:F49"/>
    <mergeCell ref="E56:F56"/>
    <mergeCell ref="B55:G55"/>
    <mergeCell ref="B57:G57"/>
    <mergeCell ref="A1:I1"/>
    <mergeCell ref="A2:I2"/>
    <mergeCell ref="A3:I3"/>
    <mergeCell ref="A10:I10"/>
    <mergeCell ref="A5:B5"/>
    <mergeCell ref="A6:B6"/>
    <mergeCell ref="A8:I8"/>
    <mergeCell ref="C12:F12"/>
    <mergeCell ref="C13:F13"/>
    <mergeCell ref="C21:F21"/>
    <mergeCell ref="C22:F22"/>
    <mergeCell ref="C23:F23"/>
    <mergeCell ref="C24:F24"/>
    <mergeCell ref="C25:F25"/>
    <mergeCell ref="H45:I45"/>
    <mergeCell ref="A38:I38"/>
    <mergeCell ref="C14:F14"/>
    <mergeCell ref="C16:F16"/>
    <mergeCell ref="A19:I19"/>
    <mergeCell ref="A27:I27"/>
    <mergeCell ref="A29:I29"/>
    <mergeCell ref="A36:B36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A167:F167"/>
    <mergeCell ref="G167:I167"/>
    <mergeCell ref="H94:I94"/>
    <mergeCell ref="H95:I95"/>
    <mergeCell ref="H40:I40"/>
    <mergeCell ref="H41:I41"/>
    <mergeCell ref="B46:F46"/>
    <mergeCell ref="B47:F47"/>
    <mergeCell ref="B48:F48"/>
    <mergeCell ref="H42:I42"/>
    <mergeCell ref="A53:I53"/>
    <mergeCell ref="H55:I55"/>
    <mergeCell ref="H56:I56"/>
    <mergeCell ref="H46:I46"/>
    <mergeCell ref="H47:I47"/>
    <mergeCell ref="H51:I51"/>
    <mergeCell ref="H48:I48"/>
    <mergeCell ref="H49:I49"/>
    <mergeCell ref="H43:I43"/>
    <mergeCell ref="A56:A58"/>
    <mergeCell ref="H57:I57"/>
    <mergeCell ref="H58:I58"/>
    <mergeCell ref="B58:G58"/>
    <mergeCell ref="H44:I44"/>
    <mergeCell ref="H80:I80"/>
    <mergeCell ref="H63:I63"/>
    <mergeCell ref="A136:I136"/>
    <mergeCell ref="A153:I153"/>
    <mergeCell ref="G155:I155"/>
    <mergeCell ref="G156:I156"/>
    <mergeCell ref="B139:F139"/>
    <mergeCell ref="H138:I138"/>
    <mergeCell ref="G164:I166"/>
    <mergeCell ref="D165:E165"/>
    <mergeCell ref="A164:A166"/>
    <mergeCell ref="B166:F166"/>
    <mergeCell ref="B164:C164"/>
    <mergeCell ref="B117:G117"/>
    <mergeCell ref="B118:G118"/>
    <mergeCell ref="A119:G119"/>
    <mergeCell ref="H126:I126"/>
    <mergeCell ref="H130:I130"/>
    <mergeCell ref="H131:I131"/>
    <mergeCell ref="H133:I133"/>
    <mergeCell ref="H117:I117"/>
    <mergeCell ref="H118:I118"/>
    <mergeCell ref="H119:I119"/>
    <mergeCell ref="A122:I122"/>
  </mergeCells>
  <pageMargins left="0.51181102362204722" right="0.51181102362204722" top="0.78740157480314965" bottom="0.78740157480314965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8"/>
  <sheetViews>
    <sheetView showGridLines="0" tabSelected="1" view="pageBreakPreview" zoomScale="70" zoomScaleNormal="130" zoomScaleSheetLayoutView="70" workbookViewId="0">
      <selection activeCell="H5" sqref="H5"/>
    </sheetView>
  </sheetViews>
  <sheetFormatPr defaultRowHeight="15" x14ac:dyDescent="0.25"/>
  <cols>
    <col min="1" max="1" width="15.7109375" customWidth="1"/>
    <col min="2" max="2" width="34.7109375" customWidth="1"/>
    <col min="3" max="5" width="15.7109375" customWidth="1"/>
    <col min="6" max="6" width="18.7109375" customWidth="1"/>
    <col min="7" max="9" width="15.7109375" customWidth="1"/>
    <col min="11" max="11" width="12.5703125" bestFit="1" customWidth="1"/>
  </cols>
  <sheetData>
    <row r="1" spans="1:11" ht="42.75" customHeight="1" thickBot="1" x14ac:dyDescent="0.3">
      <c r="A1" s="170" t="s">
        <v>154</v>
      </c>
      <c r="B1" s="171"/>
      <c r="C1" s="171"/>
      <c r="D1" s="171"/>
      <c r="E1" s="171"/>
      <c r="F1" s="171"/>
      <c r="G1" s="171"/>
      <c r="H1" s="171"/>
      <c r="I1" s="172"/>
    </row>
    <row r="2" spans="1:11" ht="39" thickBot="1" x14ac:dyDescent="0.3">
      <c r="A2" s="50" t="s">
        <v>137</v>
      </c>
      <c r="B2" s="51" t="s">
        <v>138</v>
      </c>
      <c r="C2" s="51" t="s">
        <v>139</v>
      </c>
      <c r="D2" s="51" t="s">
        <v>140</v>
      </c>
      <c r="E2" s="51" t="s">
        <v>141</v>
      </c>
      <c r="F2" s="51" t="s">
        <v>142</v>
      </c>
      <c r="G2" s="51" t="s">
        <v>149</v>
      </c>
      <c r="H2" s="51" t="s">
        <v>143</v>
      </c>
      <c r="I2" s="51" t="s">
        <v>144</v>
      </c>
    </row>
    <row r="3" spans="1:11" ht="39" thickBot="1" x14ac:dyDescent="0.3">
      <c r="A3" s="52">
        <v>1</v>
      </c>
      <c r="B3" s="53" t="s">
        <v>150</v>
      </c>
      <c r="C3" s="54" t="s">
        <v>145</v>
      </c>
      <c r="D3" s="54">
        <v>21</v>
      </c>
      <c r="E3" s="54">
        <v>24</v>
      </c>
      <c r="F3" s="76"/>
      <c r="G3" s="55">
        <f>F3*E3</f>
        <v>0</v>
      </c>
      <c r="H3" s="55">
        <f>G3*12</f>
        <v>0</v>
      </c>
      <c r="I3" s="55">
        <f>G3*24</f>
        <v>0</v>
      </c>
      <c r="K3" s="64"/>
    </row>
    <row r="4" spans="1:11" ht="39" thickBot="1" x14ac:dyDescent="0.3">
      <c r="A4" s="52">
        <v>2</v>
      </c>
      <c r="B4" s="53" t="s">
        <v>151</v>
      </c>
      <c r="C4" s="54" t="s">
        <v>145</v>
      </c>
      <c r="D4" s="54">
        <v>7</v>
      </c>
      <c r="E4" s="54">
        <v>8</v>
      </c>
      <c r="F4" s="76"/>
      <c r="G4" s="55">
        <f t="shared" ref="G4:G5" si="0">F4*E4</f>
        <v>0</v>
      </c>
      <c r="H4" s="55">
        <f t="shared" ref="H4:H7" si="1">G4*12</f>
        <v>0</v>
      </c>
      <c r="I4" s="55">
        <f t="shared" ref="I4:I7" si="2">G4*24</f>
        <v>0</v>
      </c>
      <c r="K4" s="64"/>
    </row>
    <row r="5" spans="1:11" ht="64.5" thickBot="1" x14ac:dyDescent="0.3">
      <c r="A5" s="52">
        <v>3</v>
      </c>
      <c r="B5" s="53" t="s">
        <v>152</v>
      </c>
      <c r="C5" s="54" t="s">
        <v>145</v>
      </c>
      <c r="D5" s="54">
        <v>1</v>
      </c>
      <c r="E5" s="54">
        <v>2</v>
      </c>
      <c r="F5" s="76"/>
      <c r="G5" s="55">
        <f t="shared" si="0"/>
        <v>0</v>
      </c>
      <c r="H5" s="55">
        <f t="shared" si="1"/>
        <v>0</v>
      </c>
      <c r="I5" s="55">
        <f t="shared" si="2"/>
        <v>0</v>
      </c>
      <c r="K5" s="64"/>
    </row>
    <row r="6" spans="1:11" ht="64.5" thickBot="1" x14ac:dyDescent="0.3">
      <c r="A6" s="52">
        <v>4</v>
      </c>
      <c r="B6" s="53" t="s">
        <v>153</v>
      </c>
      <c r="C6" s="54" t="s">
        <v>146</v>
      </c>
      <c r="D6" s="54">
        <v>0</v>
      </c>
      <c r="E6" s="54">
        <v>12</v>
      </c>
      <c r="F6" s="77"/>
      <c r="G6" s="56">
        <f>F6</f>
        <v>0</v>
      </c>
      <c r="H6" s="55">
        <f t="shared" si="1"/>
        <v>0</v>
      </c>
      <c r="I6" s="55">
        <f t="shared" si="2"/>
        <v>0</v>
      </c>
      <c r="K6" s="64"/>
    </row>
    <row r="7" spans="1:11" ht="41.25" customHeight="1" thickBot="1" x14ac:dyDescent="0.3">
      <c r="A7" s="52">
        <v>5</v>
      </c>
      <c r="B7" s="57" t="s">
        <v>155</v>
      </c>
      <c r="C7" s="54" t="s">
        <v>147</v>
      </c>
      <c r="D7" s="54">
        <v>4</v>
      </c>
      <c r="E7" s="54">
        <v>6</v>
      </c>
      <c r="F7" s="76"/>
      <c r="G7" s="55">
        <f>F7*E7</f>
        <v>0</v>
      </c>
      <c r="H7" s="55">
        <f t="shared" si="1"/>
        <v>0</v>
      </c>
      <c r="I7" s="55">
        <f t="shared" si="2"/>
        <v>0</v>
      </c>
      <c r="K7" s="64"/>
    </row>
    <row r="8" spans="1:11" ht="15.75" thickBot="1" x14ac:dyDescent="0.3">
      <c r="A8" s="173" t="s">
        <v>148</v>
      </c>
      <c r="B8" s="174"/>
      <c r="C8" s="174"/>
      <c r="D8" s="174"/>
      <c r="E8" s="174"/>
      <c r="F8" s="175"/>
      <c r="G8" s="58">
        <f>SUM(G3:G7)</f>
        <v>0</v>
      </c>
      <c r="H8" s="58">
        <f>SUM(H3:H7)</f>
        <v>0</v>
      </c>
      <c r="I8" s="58">
        <f>SUM(I3:I7)</f>
        <v>0</v>
      </c>
      <c r="K8" s="64"/>
    </row>
  </sheetData>
  <sheetProtection password="D88A" sheet="1" objects="1" scenarios="1"/>
  <mergeCells count="2">
    <mergeCell ref="A1:I1"/>
    <mergeCell ref="A8:F8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Custos- Motoristas</vt:lpstr>
      <vt:lpstr>Resumo-Veículos e motoristas</vt:lpstr>
      <vt:lpstr>'Planilha de Custos- Motoristas'!Area_de_impressao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Vinicius Pereira Souza</cp:lastModifiedBy>
  <cp:lastPrinted>2018-10-23T13:53:05Z</cp:lastPrinted>
  <dcterms:created xsi:type="dcterms:W3CDTF">2018-01-23T19:35:16Z</dcterms:created>
  <dcterms:modified xsi:type="dcterms:W3CDTF">2018-10-29T13:52:28Z</dcterms:modified>
</cp:coreProperties>
</file>